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P:\Datos\Plan Anual de Compras (PACC) 2026\PACC 2026 AJUSTADO A TOPE\PACC 2026\Cambios y Modificaciones Solicitados\"/>
    </mc:Choice>
  </mc:AlternateContent>
  <bookViews>
    <workbookView xWindow="0" yWindow="0" windowWidth="19200" windowHeight="6930" tabRatio="601" activeTab="1"/>
  </bookViews>
  <sheets>
    <sheet name="RESUMEN PACC 2026" sheetId="1" r:id="rId1"/>
    <sheet name="PACC GENERAL 2026" sheetId="2" r:id="rId2"/>
    <sheet name="Hoja2" sheetId="4" r:id="rId3"/>
    <sheet name="Hoja1" sheetId="3" r:id="rId4"/>
  </sheets>
  <definedNames>
    <definedName name="_xlnm._FilterDatabase" localSheetId="1" hidden="1">'PACC GENERAL 2026'!$A$2:$N$4</definedName>
    <definedName name="_xlnm._FilterDatabase" localSheetId="0" hidden="1">'RESUMEN PACC 2026'!$B$8:$E$119</definedName>
    <definedName name="_xlnm.Print_Area" localSheetId="1">'PACC GENERAL 2026'!$A$1:$P$1601</definedName>
    <definedName name="_xlnm.Print_Area" localSheetId="0">'RESUMEN PACC 2026'!$A$5:$D$116</definedName>
    <definedName name="_xlnm.Print_Titles" localSheetId="1">'PACC GENERAL 2026'!$2:$8</definedName>
    <definedName name="_xlnm.Print_Titles" localSheetId="0">'RESUMEN PACC 2026'!$8:$8</definedName>
    <definedName name="Z_A778D8BC_9BFE_407A_A4CC_D84DDC2A2C25_.wvu.FilterData" localSheetId="1" hidden="1">'PACC GENERAL 2026'!$A$7:$N$2443</definedName>
  </definedNames>
  <calcPr calcId="162913"/>
  <customWorkbookViews>
    <customWorkbookView name="Filtro 1" guid="{A778D8BC-9BFE-407A-A4CC-D84DDC2A2C25}" maximized="1" windowWidth="0" windowHeight="0" activeSheetId="0"/>
  </customWorkbookViews>
</workbook>
</file>

<file path=xl/calcChain.xml><?xml version="1.0" encoding="utf-8"?>
<calcChain xmlns="http://schemas.openxmlformats.org/spreadsheetml/2006/main">
  <c r="B61" i="1" l="1"/>
  <c r="B62" i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0" i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K1601" i="2"/>
  <c r="E111" i="1" s="1"/>
  <c r="D96" i="1"/>
  <c r="D97" i="1"/>
  <c r="D63" i="1"/>
  <c r="D62" i="1"/>
  <c r="D57" i="1"/>
  <c r="D52" i="1"/>
  <c r="D40" i="1"/>
  <c r="D39" i="1"/>
  <c r="H1083" i="2"/>
  <c r="I1083" i="2"/>
  <c r="I1087" i="2"/>
  <c r="H1086" i="2"/>
  <c r="J1086" i="2" s="1"/>
  <c r="H1087" i="2"/>
  <c r="H1088" i="2"/>
  <c r="J1088" i="2" s="1"/>
  <c r="H1089" i="2"/>
  <c r="J1089" i="2" s="1"/>
  <c r="H1085" i="2"/>
  <c r="I1085" i="2"/>
  <c r="D356" i="2"/>
  <c r="D29" i="2"/>
  <c r="D889" i="2"/>
  <c r="J1085" i="2" l="1"/>
  <c r="J1083" i="2"/>
  <c r="J1087" i="2"/>
  <c r="F788" i="2"/>
  <c r="F781" i="2"/>
  <c r="F758" i="2"/>
  <c r="F925" i="2"/>
  <c r="F924" i="2"/>
  <c r="E485" i="2" l="1"/>
  <c r="E460" i="2"/>
  <c r="E463" i="2"/>
  <c r="E461" i="2"/>
  <c r="E458" i="2"/>
  <c r="K8" i="4" l="1"/>
  <c r="K9" i="4"/>
  <c r="K10" i="4"/>
  <c r="K11" i="4"/>
  <c r="K7" i="4"/>
  <c r="I8" i="4"/>
  <c r="I9" i="4"/>
  <c r="I10" i="4"/>
  <c r="I11" i="4"/>
  <c r="I7" i="4"/>
  <c r="H1580" i="2"/>
  <c r="J1580" i="2" s="1"/>
  <c r="H1581" i="2"/>
  <c r="J1581" i="2" s="1"/>
  <c r="H1582" i="2"/>
  <c r="J1582" i="2" s="1"/>
  <c r="H1583" i="2"/>
  <c r="J1583" i="2" s="1"/>
  <c r="H1584" i="2"/>
  <c r="J1584" i="2" s="1"/>
  <c r="F763" i="2"/>
  <c r="H703" i="2"/>
  <c r="H704" i="2"/>
  <c r="H705" i="2"/>
  <c r="D675" i="2"/>
  <c r="D673" i="2"/>
  <c r="D622" i="2"/>
  <c r="D619" i="2"/>
  <c r="D570" i="2"/>
  <c r="H1492" i="2" l="1"/>
  <c r="J1492" i="2" s="1"/>
  <c r="H1493" i="2"/>
  <c r="J1493" i="2" s="1"/>
  <c r="H1494" i="2"/>
  <c r="J1494" i="2" s="1"/>
  <c r="H1495" i="2"/>
  <c r="J1495" i="2" s="1"/>
  <c r="H1496" i="2"/>
  <c r="J1496" i="2" s="1"/>
  <c r="H1497" i="2"/>
  <c r="J1497" i="2" s="1"/>
  <c r="H1498" i="2"/>
  <c r="J1498" i="2" s="1"/>
  <c r="H1499" i="2"/>
  <c r="J1499" i="2" s="1"/>
  <c r="H1500" i="2"/>
  <c r="J1500" i="2" s="1"/>
  <c r="H1501" i="2"/>
  <c r="J1501" i="2" s="1"/>
  <c r="H1502" i="2"/>
  <c r="J1502" i="2" s="1"/>
  <c r="H1503" i="2"/>
  <c r="J1503" i="2" s="1"/>
  <c r="H1504" i="2"/>
  <c r="J1504" i="2" s="1"/>
  <c r="H1505" i="2"/>
  <c r="J1505" i="2" s="1"/>
  <c r="H1431" i="2"/>
  <c r="J1431" i="2" s="1"/>
  <c r="H1432" i="2"/>
  <c r="J1432" i="2" s="1"/>
  <c r="H1433" i="2"/>
  <c r="J1433" i="2" s="1"/>
  <c r="H1428" i="2"/>
  <c r="J1428" i="2" s="1"/>
  <c r="H1403" i="2"/>
  <c r="J1403" i="2" s="1"/>
  <c r="H1404" i="2"/>
  <c r="J1404" i="2" s="1"/>
  <c r="H792" i="2"/>
  <c r="J792" i="2" s="1"/>
  <c r="H793" i="2"/>
  <c r="J793" i="2" s="1"/>
  <c r="H794" i="2"/>
  <c r="J794" i="2" s="1"/>
  <c r="H795" i="2"/>
  <c r="J795" i="2" s="1"/>
  <c r="H796" i="2"/>
  <c r="J796" i="2" s="1"/>
  <c r="H797" i="2"/>
  <c r="J797" i="2" s="1"/>
  <c r="H798" i="2"/>
  <c r="J798" i="2" s="1"/>
  <c r="H799" i="2"/>
  <c r="J799" i="2" s="1"/>
  <c r="H800" i="2"/>
  <c r="J800" i="2" s="1"/>
  <c r="H801" i="2"/>
  <c r="J801" i="2" s="1"/>
  <c r="H802" i="2"/>
  <c r="J802" i="2" s="1"/>
  <c r="H803" i="2"/>
  <c r="J803" i="2" s="1"/>
  <c r="H804" i="2"/>
  <c r="J804" i="2" s="1"/>
  <c r="H805" i="2"/>
  <c r="J805" i="2" s="1"/>
  <c r="H806" i="2"/>
  <c r="J806" i="2" s="1"/>
  <c r="H807" i="2"/>
  <c r="J807" i="2" s="1"/>
  <c r="H808" i="2"/>
  <c r="J808" i="2" s="1"/>
  <c r="H809" i="2"/>
  <c r="J809" i="2" s="1"/>
  <c r="H810" i="2"/>
  <c r="J810" i="2" s="1"/>
  <c r="H811" i="2"/>
  <c r="J811" i="2" s="1"/>
  <c r="H812" i="2"/>
  <c r="J812" i="2" s="1"/>
  <c r="H813" i="2"/>
  <c r="J813" i="2" s="1"/>
  <c r="H814" i="2"/>
  <c r="J814" i="2" s="1"/>
  <c r="H815" i="2"/>
  <c r="J815" i="2" s="1"/>
  <c r="H816" i="2"/>
  <c r="J816" i="2" s="1"/>
  <c r="H817" i="2"/>
  <c r="J817" i="2" s="1"/>
  <c r="H818" i="2"/>
  <c r="J818" i="2" s="1"/>
  <c r="H819" i="2"/>
  <c r="J819" i="2" s="1"/>
  <c r="H820" i="2"/>
  <c r="J820" i="2" s="1"/>
  <c r="H821" i="2"/>
  <c r="J821" i="2" s="1"/>
  <c r="H822" i="2"/>
  <c r="J822" i="2" s="1"/>
  <c r="H823" i="2"/>
  <c r="J823" i="2" s="1"/>
  <c r="H824" i="2"/>
  <c r="J824" i="2" s="1"/>
  <c r="H825" i="2"/>
  <c r="J825" i="2" s="1"/>
  <c r="H826" i="2"/>
  <c r="J826" i="2" s="1"/>
  <c r="H827" i="2"/>
  <c r="J827" i="2" s="1"/>
  <c r="H828" i="2"/>
  <c r="J828" i="2" s="1"/>
  <c r="H829" i="2"/>
  <c r="J829" i="2" s="1"/>
  <c r="H830" i="2"/>
  <c r="J830" i="2" s="1"/>
  <c r="H831" i="2"/>
  <c r="J831" i="2" s="1"/>
  <c r="H832" i="2"/>
  <c r="J832" i="2" s="1"/>
  <c r="H833" i="2"/>
  <c r="J833" i="2" s="1"/>
  <c r="H834" i="2"/>
  <c r="J834" i="2" s="1"/>
  <c r="H835" i="2"/>
  <c r="J835" i="2" s="1"/>
  <c r="H836" i="2"/>
  <c r="J836" i="2" s="1"/>
  <c r="H837" i="2"/>
  <c r="J837" i="2" s="1"/>
  <c r="H838" i="2"/>
  <c r="J838" i="2" s="1"/>
  <c r="H839" i="2"/>
  <c r="J839" i="2" s="1"/>
  <c r="H1416" i="2"/>
  <c r="J1416" i="2" s="1"/>
  <c r="K1417" i="2" s="1"/>
  <c r="H146" i="2"/>
  <c r="J146" i="2" s="1"/>
  <c r="H147" i="2"/>
  <c r="J147" i="2" s="1"/>
  <c r="H148" i="2"/>
  <c r="J148" i="2" s="1"/>
  <c r="H149" i="2"/>
  <c r="J149" i="2" s="1"/>
  <c r="H150" i="2"/>
  <c r="J150" i="2" s="1"/>
  <c r="H151" i="2"/>
  <c r="J151" i="2" s="1"/>
  <c r="H152" i="2"/>
  <c r="J152" i="2" s="1"/>
  <c r="H153" i="2"/>
  <c r="J153" i="2" s="1"/>
  <c r="H154" i="2"/>
  <c r="J154" i="2" s="1"/>
  <c r="H155" i="2"/>
  <c r="J155" i="2" s="1"/>
  <c r="H156" i="2"/>
  <c r="J156" i="2" s="1"/>
  <c r="H157" i="2"/>
  <c r="J157" i="2" s="1"/>
  <c r="H158" i="2"/>
  <c r="J158" i="2" s="1"/>
  <c r="H159" i="2"/>
  <c r="J159" i="2" s="1"/>
  <c r="H160" i="2"/>
  <c r="J160" i="2" s="1"/>
  <c r="H161" i="2"/>
  <c r="J161" i="2" s="1"/>
  <c r="H162" i="2"/>
  <c r="J162" i="2" s="1"/>
  <c r="H163" i="2"/>
  <c r="J163" i="2" s="1"/>
  <c r="H164" i="2"/>
  <c r="J164" i="2" s="1"/>
  <c r="H165" i="2"/>
  <c r="J165" i="2" s="1"/>
  <c r="H166" i="2"/>
  <c r="J166" i="2" s="1"/>
  <c r="H167" i="2"/>
  <c r="J167" i="2" s="1"/>
  <c r="H168" i="2"/>
  <c r="J168" i="2" s="1"/>
  <c r="H169" i="2"/>
  <c r="J169" i="2" s="1"/>
  <c r="H170" i="2"/>
  <c r="J170" i="2" s="1"/>
  <c r="H171" i="2"/>
  <c r="J171" i="2" s="1"/>
  <c r="H172" i="2"/>
  <c r="J172" i="2" s="1"/>
  <c r="H173" i="2"/>
  <c r="J173" i="2" s="1"/>
  <c r="H174" i="2"/>
  <c r="J174" i="2" s="1"/>
  <c r="H176" i="2"/>
  <c r="J176" i="2" s="1"/>
  <c r="H177" i="2"/>
  <c r="J177" i="2" s="1"/>
  <c r="H178" i="2"/>
  <c r="J178" i="2" s="1"/>
  <c r="H75" i="2"/>
  <c r="J75" i="2" s="1"/>
  <c r="H175" i="2"/>
  <c r="J175" i="2" s="1"/>
  <c r="H76" i="2"/>
  <c r="J76" i="2" s="1"/>
  <c r="H77" i="2"/>
  <c r="J77" i="2" s="1"/>
  <c r="H78" i="2"/>
  <c r="J78" i="2" s="1"/>
  <c r="F1069" i="2" l="1"/>
  <c r="F887" i="2"/>
  <c r="F884" i="2"/>
  <c r="D118" i="2"/>
  <c r="H1060" i="2" l="1"/>
  <c r="J1060" i="2" s="1"/>
  <c r="H1061" i="2"/>
  <c r="J1061" i="2" s="1"/>
  <c r="H1062" i="2"/>
  <c r="J1062" i="2" s="1"/>
  <c r="H1063" i="2"/>
  <c r="J1063" i="2" s="1"/>
  <c r="D1064" i="2"/>
  <c r="H1064" i="2" s="1"/>
  <c r="J1064" i="2" s="1"/>
  <c r="H629" i="2" l="1"/>
  <c r="J629" i="2" s="1"/>
  <c r="H522" i="2"/>
  <c r="J522" i="2" s="1"/>
  <c r="D517" i="2"/>
  <c r="H517" i="2" s="1"/>
  <c r="E464" i="2"/>
  <c r="H518" i="2"/>
  <c r="H519" i="2"/>
  <c r="H520" i="2"/>
  <c r="H521" i="2"/>
  <c r="H523" i="2"/>
  <c r="H524" i="2"/>
  <c r="H525" i="2"/>
  <c r="H526" i="2"/>
  <c r="H527" i="2"/>
  <c r="H528" i="2"/>
  <c r="H501" i="2"/>
  <c r="H502" i="2"/>
  <c r="H582" i="2"/>
  <c r="H583" i="2"/>
  <c r="H507" i="2"/>
  <c r="D516" i="2"/>
  <c r="H516" i="2" s="1"/>
  <c r="D515" i="2"/>
  <c r="H515" i="2" s="1"/>
  <c r="D514" i="2"/>
  <c r="H514" i="2" s="1"/>
  <c r="D513" i="2"/>
  <c r="H513" i="2" s="1"/>
  <c r="D512" i="2"/>
  <c r="H512" i="2" s="1"/>
  <c r="D511" i="2"/>
  <c r="H511" i="2" s="1"/>
  <c r="D510" i="2"/>
  <c r="H510" i="2" s="1"/>
  <c r="D509" i="2"/>
  <c r="H509" i="2" s="1"/>
  <c r="D508" i="2"/>
  <c r="H508" i="2" s="1"/>
  <c r="D506" i="2"/>
  <c r="H506" i="2" s="1"/>
  <c r="D505" i="2"/>
  <c r="H505" i="2" s="1"/>
  <c r="D504" i="2"/>
  <c r="H504" i="2" s="1"/>
  <c r="D503" i="2"/>
  <c r="H503" i="2" s="1"/>
  <c r="D763" i="2" l="1"/>
  <c r="H709" i="2"/>
  <c r="H661" i="2"/>
  <c r="H662" i="2"/>
  <c r="H663" i="2"/>
  <c r="F453" i="2"/>
  <c r="D453" i="2"/>
  <c r="E98" i="2"/>
  <c r="E94" i="2"/>
  <c r="E93" i="2"/>
  <c r="H1127" i="2" l="1"/>
  <c r="H1242" i="2"/>
  <c r="H1243" i="2"/>
  <c r="D1232" i="2"/>
  <c r="F1232" i="2"/>
  <c r="F1224" i="2"/>
  <c r="F1219" i="2"/>
  <c r="D913" i="2"/>
  <c r="D912" i="2"/>
  <c r="D888" i="2"/>
  <c r="D887" i="2"/>
  <c r="D884" i="2"/>
  <c r="H891" i="2"/>
  <c r="H892" i="2"/>
  <c r="H893" i="2"/>
  <c r="H323" i="2"/>
  <c r="H324" i="2"/>
  <c r="H325" i="2"/>
  <c r="H894" i="2"/>
  <c r="H895" i="2"/>
  <c r="H896" i="2"/>
  <c r="H897" i="2"/>
  <c r="H898" i="2"/>
  <c r="H899" i="2"/>
  <c r="H900" i="2"/>
  <c r="H901" i="2"/>
  <c r="H902" i="2"/>
  <c r="H903" i="2"/>
  <c r="E543" i="2"/>
  <c r="E541" i="2"/>
  <c r="E540" i="2"/>
  <c r="E539" i="2"/>
  <c r="D596" i="2"/>
  <c r="D595" i="2"/>
  <c r="D357" i="2"/>
  <c r="D110" i="2"/>
  <c r="H581" i="2" l="1"/>
  <c r="J581" i="2" s="1"/>
  <c r="H580" i="2"/>
  <c r="J580" i="2" s="1"/>
  <c r="H579" i="2"/>
  <c r="J579" i="2" s="1"/>
  <c r="H578" i="2"/>
  <c r="J578" i="2" s="1"/>
  <c r="H577" i="2"/>
  <c r="J577" i="2" s="1"/>
  <c r="H576" i="2"/>
  <c r="J576" i="2" s="1"/>
  <c r="H575" i="2"/>
  <c r="J575" i="2" s="1"/>
  <c r="H574" i="2"/>
  <c r="J574" i="2" s="1"/>
  <c r="H573" i="2"/>
  <c r="J573" i="2" s="1"/>
  <c r="H572" i="2"/>
  <c r="J572" i="2" s="1"/>
  <c r="H571" i="2"/>
  <c r="J571" i="2" s="1"/>
  <c r="H414" i="2" l="1"/>
  <c r="H416" i="2"/>
  <c r="H410" i="2"/>
  <c r="J410" i="2" s="1"/>
  <c r="H411" i="2"/>
  <c r="J411" i="2" s="1"/>
  <c r="H412" i="2"/>
  <c r="J412" i="2" s="1"/>
  <c r="D22" i="3"/>
  <c r="E24" i="3"/>
  <c r="E23" i="3"/>
  <c r="F117" i="1"/>
  <c r="E29" i="3" l="1"/>
  <c r="H379" i="2"/>
  <c r="H380" i="2"/>
  <c r="J380" i="2" s="1"/>
  <c r="H381" i="2"/>
  <c r="J381" i="2" s="1"/>
  <c r="H382" i="2"/>
  <c r="J382" i="2" s="1"/>
  <c r="H383" i="2"/>
  <c r="J383" i="2" s="1"/>
  <c r="H384" i="2"/>
  <c r="J384" i="2" s="1"/>
  <c r="H385" i="2"/>
  <c r="J385" i="2" s="1"/>
  <c r="H386" i="2"/>
  <c r="J386" i="2" s="1"/>
  <c r="H387" i="2"/>
  <c r="J387" i="2" s="1"/>
  <c r="H388" i="2"/>
  <c r="J388" i="2" s="1"/>
  <c r="H389" i="2"/>
  <c r="J389" i="2" s="1"/>
  <c r="H390" i="2"/>
  <c r="J390" i="2" s="1"/>
  <c r="H391" i="2"/>
  <c r="J391" i="2" s="1"/>
  <c r="H392" i="2"/>
  <c r="J392" i="2" s="1"/>
  <c r="H393" i="2"/>
  <c r="J393" i="2" s="1"/>
  <c r="H394" i="2"/>
  <c r="J394" i="2" s="1"/>
  <c r="H395" i="2"/>
  <c r="J395" i="2" s="1"/>
  <c r="H396" i="2"/>
  <c r="J396" i="2" s="1"/>
  <c r="H397" i="2"/>
  <c r="J397" i="2" s="1"/>
  <c r="H398" i="2"/>
  <c r="J398" i="2" s="1"/>
  <c r="H399" i="2"/>
  <c r="J399" i="2" s="1"/>
  <c r="H400" i="2"/>
  <c r="J400" i="2" s="1"/>
  <c r="H401" i="2"/>
  <c r="J401" i="2" s="1"/>
  <c r="H402" i="2"/>
  <c r="J402" i="2" s="1"/>
  <c r="H403" i="2"/>
  <c r="J403" i="2" s="1"/>
  <c r="H404" i="2"/>
  <c r="J404" i="2" s="1"/>
  <c r="H405" i="2"/>
  <c r="J405" i="2" s="1"/>
  <c r="H406" i="2"/>
  <c r="J406" i="2" s="1"/>
  <c r="H407" i="2"/>
  <c r="J407" i="2" s="1"/>
  <c r="H408" i="2"/>
  <c r="J408" i="2" s="1"/>
  <c r="H409" i="2"/>
  <c r="J409" i="2" s="1"/>
  <c r="H378" i="2"/>
  <c r="H1196" i="2" l="1"/>
  <c r="H1197" i="2"/>
  <c r="J1197" i="2" s="1"/>
  <c r="H1198" i="2"/>
  <c r="J1198" i="2" s="1"/>
  <c r="H1199" i="2"/>
  <c r="J1199" i="2" s="1"/>
  <c r="E1098" i="2"/>
  <c r="E1391" i="2"/>
  <c r="E1390" i="2"/>
  <c r="E1096" i="2"/>
  <c r="E110" i="2"/>
  <c r="E1532" i="2" l="1"/>
  <c r="E1304" i="2"/>
  <c r="H66" i="2"/>
  <c r="J66" i="2" s="1"/>
  <c r="H65" i="2"/>
  <c r="J65" i="2" s="1"/>
  <c r="E129" i="2"/>
  <c r="K67" i="2" l="1"/>
  <c r="D16" i="1" s="1"/>
  <c r="H931" i="2"/>
  <c r="J931" i="2" s="1"/>
  <c r="D936" i="2"/>
  <c r="F936" i="2"/>
  <c r="D905" i="2"/>
  <c r="D857" i="2"/>
  <c r="D852" i="2"/>
  <c r="F130" i="2" l="1"/>
  <c r="E87" i="2"/>
  <c r="E91" i="2"/>
  <c r="E90" i="2"/>
  <c r="I11" i="3" l="1"/>
  <c r="K11" i="3" s="1"/>
  <c r="I10" i="3"/>
  <c r="K10" i="3"/>
  <c r="I7" i="3"/>
  <c r="K7" i="3" s="1"/>
  <c r="I6" i="3"/>
  <c r="K6" i="3" s="1"/>
  <c r="K8" i="3" l="1"/>
  <c r="K12" i="3"/>
  <c r="E26" i="2"/>
  <c r="H19" i="2"/>
  <c r="J19" i="2" s="1"/>
  <c r="K20" i="2" s="1"/>
  <c r="D11" i="1" s="1"/>
  <c r="H129" i="2"/>
  <c r="J129" i="2" s="1"/>
  <c r="E131" i="2"/>
  <c r="H131" i="2" s="1"/>
  <c r="J131" i="2" s="1"/>
  <c r="H130" i="2"/>
  <c r="J130" i="2" s="1"/>
  <c r="D971" i="2"/>
  <c r="K15" i="3" l="1"/>
  <c r="D27" i="3" s="1"/>
  <c r="D29" i="3" s="1"/>
  <c r="D30" i="3" s="1"/>
  <c r="D118" i="1" s="1"/>
  <c r="D121" i="1" s="1"/>
  <c r="I1510" i="2" l="1"/>
  <c r="H1511" i="2"/>
  <c r="J1511" i="2" s="1"/>
  <c r="H1510" i="2"/>
  <c r="H1373" i="2"/>
  <c r="J1373" i="2" s="1"/>
  <c r="H1374" i="2"/>
  <c r="J1374" i="2" s="1"/>
  <c r="H1371" i="2"/>
  <c r="J1371" i="2" s="1"/>
  <c r="J1196" i="2"/>
  <c r="H371" i="2"/>
  <c r="J371" i="2" s="1"/>
  <c r="H1128" i="2"/>
  <c r="J1128" i="2" s="1"/>
  <c r="H1392" i="2"/>
  <c r="J1392" i="2" s="1"/>
  <c r="H1203" i="2"/>
  <c r="J1203" i="2" s="1"/>
  <c r="H1073" i="2"/>
  <c r="J1073" i="2" s="1"/>
  <c r="H1525" i="2"/>
  <c r="H1382" i="2"/>
  <c r="J1382" i="2" s="1"/>
  <c r="H1383" i="2"/>
  <c r="J1383" i="2" s="1"/>
  <c r="H1384" i="2"/>
  <c r="J1384" i="2" s="1"/>
  <c r="H1385" i="2"/>
  <c r="J1385" i="2" s="1"/>
  <c r="H1386" i="2"/>
  <c r="J1386" i="2" s="1"/>
  <c r="H1387" i="2"/>
  <c r="J1387" i="2" s="1"/>
  <c r="H1311" i="2"/>
  <c r="J1311" i="2" s="1"/>
  <c r="H1312" i="2"/>
  <c r="J1312" i="2" s="1"/>
  <c r="H1313" i="2"/>
  <c r="J1313" i="2" s="1"/>
  <c r="H1314" i="2"/>
  <c r="J1314" i="2" s="1"/>
  <c r="H1315" i="2"/>
  <c r="J1315" i="2" s="1"/>
  <c r="H1316" i="2"/>
  <c r="J1316" i="2" s="1"/>
  <c r="H1317" i="2"/>
  <c r="J1317" i="2" s="1"/>
  <c r="H1318" i="2"/>
  <c r="J1318" i="2" s="1"/>
  <c r="H1319" i="2"/>
  <c r="J1319" i="2" s="1"/>
  <c r="H1320" i="2"/>
  <c r="J1320" i="2" s="1"/>
  <c r="H1321" i="2"/>
  <c r="J1321" i="2" s="1"/>
  <c r="H1322" i="2"/>
  <c r="J1322" i="2" s="1"/>
  <c r="H1323" i="2"/>
  <c r="J1323" i="2" s="1"/>
  <c r="H1324" i="2"/>
  <c r="J1324" i="2" s="1"/>
  <c r="H1325" i="2"/>
  <c r="J1325" i="2" s="1"/>
  <c r="H1326" i="2"/>
  <c r="J1326" i="2" s="1"/>
  <c r="H1327" i="2"/>
  <c r="J1327" i="2" s="1"/>
  <c r="H1328" i="2"/>
  <c r="J1328" i="2" s="1"/>
  <c r="H1329" i="2"/>
  <c r="J1329" i="2" s="1"/>
  <c r="H1330" i="2"/>
  <c r="J1330" i="2" s="1"/>
  <c r="H1331" i="2"/>
  <c r="J1331" i="2" s="1"/>
  <c r="H1332" i="2"/>
  <c r="J1332" i="2" s="1"/>
  <c r="H1333" i="2"/>
  <c r="J1333" i="2" s="1"/>
  <c r="H1334" i="2"/>
  <c r="J1334" i="2" s="1"/>
  <c r="H1552" i="2"/>
  <c r="J1552" i="2" s="1"/>
  <c r="H1553" i="2"/>
  <c r="J1553" i="2" s="1"/>
  <c r="H1554" i="2"/>
  <c r="J1554" i="2" s="1"/>
  <c r="H1555" i="2"/>
  <c r="J1555" i="2" s="1"/>
  <c r="H1556" i="2"/>
  <c r="J1556" i="2" s="1"/>
  <c r="H1557" i="2"/>
  <c r="J1557" i="2" s="1"/>
  <c r="H1558" i="2"/>
  <c r="J1558" i="2" s="1"/>
  <c r="H1559" i="2"/>
  <c r="J1559" i="2" s="1"/>
  <c r="H1560" i="2"/>
  <c r="J1560" i="2" s="1"/>
  <c r="H1561" i="2"/>
  <c r="J1561" i="2" s="1"/>
  <c r="H1562" i="2"/>
  <c r="J1562" i="2" s="1"/>
  <c r="H1563" i="2"/>
  <c r="J1563" i="2" s="1"/>
  <c r="H1564" i="2"/>
  <c r="J1564" i="2" s="1"/>
  <c r="H1565" i="2"/>
  <c r="J1565" i="2" s="1"/>
  <c r="H1566" i="2"/>
  <c r="J1566" i="2" s="1"/>
  <c r="H1567" i="2"/>
  <c r="J1567" i="2" s="1"/>
  <c r="H1568" i="2"/>
  <c r="J1568" i="2" s="1"/>
  <c r="H1569" i="2"/>
  <c r="J1569" i="2" s="1"/>
  <c r="H1570" i="2"/>
  <c r="J1570" i="2" s="1"/>
  <c r="H1571" i="2"/>
  <c r="J1571" i="2" s="1"/>
  <c r="H1572" i="2"/>
  <c r="J1572" i="2" s="1"/>
  <c r="H1573" i="2"/>
  <c r="J1573" i="2" s="1"/>
  <c r="H1574" i="2"/>
  <c r="J1574" i="2" s="1"/>
  <c r="H1575" i="2"/>
  <c r="J1575" i="2" s="1"/>
  <c r="H1576" i="2"/>
  <c r="J1576" i="2" s="1"/>
  <c r="H1577" i="2"/>
  <c r="J1577" i="2" s="1"/>
  <c r="H1578" i="2"/>
  <c r="J1578" i="2" s="1"/>
  <c r="H1579" i="2"/>
  <c r="J1579" i="2" s="1"/>
  <c r="J1510" i="2" l="1"/>
  <c r="K1512" i="2" s="1"/>
  <c r="D103" i="1" s="1"/>
  <c r="H1275" i="2" l="1"/>
  <c r="J1275" i="2" s="1"/>
  <c r="H1284" i="2"/>
  <c r="J1284" i="2" s="1"/>
  <c r="H1286" i="2"/>
  <c r="J1286" i="2" s="1"/>
  <c r="H1292" i="2"/>
  <c r="J1292" i="2" s="1"/>
  <c r="H1267" i="2"/>
  <c r="J1267" i="2" s="1"/>
  <c r="H1268" i="2"/>
  <c r="J1268" i="2" s="1"/>
  <c r="H1231" i="2"/>
  <c r="J1231" i="2" s="1"/>
  <c r="H1220" i="2"/>
  <c r="J1220" i="2" s="1"/>
  <c r="H1230" i="2"/>
  <c r="J1230" i="2" s="1"/>
  <c r="H886" i="2"/>
  <c r="J886" i="2" s="1"/>
  <c r="H883" i="2"/>
  <c r="J883" i="2" s="1"/>
  <c r="H889" i="2"/>
  <c r="J889" i="2" s="1"/>
  <c r="H761" i="2"/>
  <c r="J761" i="2" s="1"/>
  <c r="H532" i="2"/>
  <c r="J532" i="2" s="1"/>
  <c r="H319" i="2"/>
  <c r="J319" i="2" s="1"/>
  <c r="H493" i="2"/>
  <c r="J493" i="2" s="1"/>
  <c r="H498" i="2"/>
  <c r="J498" i="2" s="1"/>
  <c r="H459" i="2"/>
  <c r="J459" i="2" s="1"/>
  <c r="H462" i="2"/>
  <c r="J462" i="2" s="1"/>
  <c r="H274" i="2"/>
  <c r="J274" i="2" s="1"/>
  <c r="H275" i="2"/>
  <c r="J275" i="2" s="1"/>
  <c r="H276" i="2"/>
  <c r="J276" i="2" s="1"/>
  <c r="H277" i="2"/>
  <c r="J277" i="2" s="1"/>
  <c r="H90" i="2"/>
  <c r="J90" i="2" s="1"/>
  <c r="H91" i="2"/>
  <c r="J91" i="2" s="1"/>
  <c r="H1411" i="2" l="1"/>
  <c r="J1411" i="2" s="1"/>
  <c r="H1412" i="2"/>
  <c r="J1412" i="2" s="1"/>
  <c r="H1261" i="2"/>
  <c r="J1261" i="2" s="1"/>
  <c r="H1260" i="2"/>
  <c r="J1260" i="2" s="1"/>
  <c r="H1259" i="2"/>
  <c r="J1259" i="2" s="1"/>
  <c r="H1250" i="2"/>
  <c r="J1250" i="2" s="1"/>
  <c r="H1251" i="2"/>
  <c r="J1251" i="2" s="1"/>
  <c r="H1252" i="2"/>
  <c r="J1252" i="2" s="1"/>
  <c r="H1253" i="2"/>
  <c r="J1253" i="2" s="1"/>
  <c r="H1254" i="2"/>
  <c r="J1254" i="2" s="1"/>
  <c r="H1255" i="2"/>
  <c r="J1255" i="2" s="1"/>
  <c r="H1256" i="2"/>
  <c r="J1256" i="2" s="1"/>
  <c r="H1217" i="2"/>
  <c r="J1217" i="2" s="1"/>
  <c r="H1222" i="2"/>
  <c r="J1222" i="2" s="1"/>
  <c r="H1224" i="2"/>
  <c r="J1224" i="2" s="1"/>
  <c r="H1237" i="2"/>
  <c r="J1237" i="2" s="1"/>
  <c r="H1238" i="2"/>
  <c r="J1238" i="2" s="1"/>
  <c r="H1240" i="2"/>
  <c r="J1240" i="2" s="1"/>
  <c r="H1241" i="2"/>
  <c r="J1241" i="2" s="1"/>
  <c r="H1228" i="2"/>
  <c r="J1228" i="2" s="1"/>
  <c r="H1245" i="2"/>
  <c r="J1245" i="2" s="1"/>
  <c r="H1246" i="2"/>
  <c r="J1246" i="2" s="1"/>
  <c r="H917" i="2"/>
  <c r="J917" i="2" s="1"/>
  <c r="H918" i="2"/>
  <c r="J918" i="2" s="1"/>
  <c r="H919" i="2"/>
  <c r="J919" i="2" s="1"/>
  <c r="H888" i="2"/>
  <c r="J888" i="2" s="1"/>
  <c r="H887" i="2"/>
  <c r="J887" i="2" s="1"/>
  <c r="H920" i="2"/>
  <c r="J920" i="2" s="1"/>
  <c r="H907" i="2"/>
  <c r="J907" i="2" s="1"/>
  <c r="H912" i="2"/>
  <c r="J912" i="2" s="1"/>
  <c r="H890" i="2"/>
  <c r="J890" i="2" s="1"/>
  <c r="H913" i="2"/>
  <c r="J913" i="2" s="1"/>
  <c r="H884" i="2"/>
  <c r="J884" i="2" s="1"/>
  <c r="H922" i="2"/>
  <c r="J922" i="2" s="1"/>
  <c r="H906" i="2"/>
  <c r="J906" i="2" s="1"/>
  <c r="H923" i="2"/>
  <c r="J923" i="2" s="1"/>
  <c r="H928" i="2"/>
  <c r="J928" i="2" s="1"/>
  <c r="H781" i="2"/>
  <c r="J781" i="2" s="1"/>
  <c r="H782" i="2"/>
  <c r="J782" i="2" s="1"/>
  <c r="H783" i="2"/>
  <c r="J783" i="2" s="1"/>
  <c r="H784" i="2"/>
  <c r="J784" i="2" s="1"/>
  <c r="H785" i="2"/>
  <c r="J785" i="2" s="1"/>
  <c r="H786" i="2"/>
  <c r="J786" i="2" s="1"/>
  <c r="H787" i="2"/>
  <c r="J787" i="2" s="1"/>
  <c r="H757" i="2"/>
  <c r="J757" i="2" s="1"/>
  <c r="H788" i="2"/>
  <c r="J788" i="2" s="1"/>
  <c r="H789" i="2"/>
  <c r="J789" i="2" s="1"/>
  <c r="H769" i="2"/>
  <c r="J769" i="2" s="1"/>
  <c r="H747" i="2"/>
  <c r="J747" i="2" s="1"/>
  <c r="K748" i="2" s="1"/>
  <c r="D56" i="1" s="1"/>
  <c r="H605" i="2"/>
  <c r="J605" i="2" s="1"/>
  <c r="H606" i="2"/>
  <c r="J606" i="2" s="1"/>
  <c r="H611" i="2"/>
  <c r="J611" i="2" s="1"/>
  <c r="H612" i="2"/>
  <c r="J612" i="2" s="1"/>
  <c r="H613" i="2"/>
  <c r="J613" i="2" s="1"/>
  <c r="H614" i="2"/>
  <c r="J614" i="2" s="1"/>
  <c r="H618" i="2"/>
  <c r="J618" i="2" s="1"/>
  <c r="H650" i="2"/>
  <c r="J650" i="2" s="1"/>
  <c r="H651" i="2"/>
  <c r="J651" i="2" s="1"/>
  <c r="H655" i="2"/>
  <c r="J655" i="2" s="1"/>
  <c r="H656" i="2"/>
  <c r="J656" i="2" s="1"/>
  <c r="H657" i="2"/>
  <c r="J657" i="2" s="1"/>
  <c r="J661" i="2"/>
  <c r="H660" i="2"/>
  <c r="J660" i="2" s="1"/>
  <c r="H658" i="2"/>
  <c r="J658" i="2" s="1"/>
  <c r="H659" i="2"/>
  <c r="J659" i="2" s="1"/>
  <c r="H607" i="2"/>
  <c r="J607" i="2" s="1"/>
  <c r="H608" i="2"/>
  <c r="J608" i="2" s="1"/>
  <c r="H628" i="2"/>
  <c r="J628" i="2" s="1"/>
  <c r="H630" i="2"/>
  <c r="J630" i="2" s="1"/>
  <c r="H631" i="2"/>
  <c r="J631" i="2" s="1"/>
  <c r="H619" i="2"/>
  <c r="J619" i="2" s="1"/>
  <c r="H621" i="2"/>
  <c r="J621" i="2" s="1"/>
  <c r="H622" i="2"/>
  <c r="J622" i="2" s="1"/>
  <c r="H648" i="2"/>
  <c r="J648" i="2" s="1"/>
  <c r="H649" i="2"/>
  <c r="J649" i="2" s="1"/>
  <c r="H637" i="2"/>
  <c r="J637" i="2" s="1"/>
  <c r="H638" i="2"/>
  <c r="J638" i="2" s="1"/>
  <c r="H641" i="2"/>
  <c r="J641" i="2" s="1"/>
  <c r="H642" i="2"/>
  <c r="J642" i="2" s="1"/>
  <c r="H644" i="2"/>
  <c r="J644" i="2" s="1"/>
  <c r="H645" i="2"/>
  <c r="J645" i="2" s="1"/>
  <c r="H615" i="2"/>
  <c r="J615" i="2" s="1"/>
  <c r="J662" i="2"/>
  <c r="J663" i="2"/>
  <c r="H664" i="2"/>
  <c r="J664" i="2" s="1"/>
  <c r="H665" i="2"/>
  <c r="J665" i="2" s="1"/>
  <c r="H669" i="2"/>
  <c r="J669" i="2" s="1"/>
  <c r="H670" i="2"/>
  <c r="J670" i="2" s="1"/>
  <c r="H673" i="2"/>
  <c r="J673" i="2" s="1"/>
  <c r="H674" i="2"/>
  <c r="J674" i="2" s="1"/>
  <c r="H675" i="2"/>
  <c r="J675" i="2" s="1"/>
  <c r="H686" i="2"/>
  <c r="J686" i="2" s="1"/>
  <c r="H689" i="2"/>
  <c r="J689" i="2" s="1"/>
  <c r="H687" i="2"/>
  <c r="J687" i="2" s="1"/>
  <c r="H688" i="2"/>
  <c r="J688" i="2" s="1"/>
  <c r="H671" i="2"/>
  <c r="J671" i="2" s="1"/>
  <c r="H672" i="2"/>
  <c r="J672" i="2" s="1"/>
  <c r="H676" i="2"/>
  <c r="J676" i="2" s="1"/>
  <c r="H677" i="2"/>
  <c r="J677" i="2" s="1"/>
  <c r="H678" i="2"/>
  <c r="J678" i="2" s="1"/>
  <c r="H679" i="2"/>
  <c r="J679" i="2" s="1"/>
  <c r="H680" i="2"/>
  <c r="J680" i="2" s="1"/>
  <c r="H681" i="2"/>
  <c r="J681" i="2" s="1"/>
  <c r="H682" i="2"/>
  <c r="J682" i="2" s="1"/>
  <c r="H693" i="2"/>
  <c r="J693" i="2" s="1"/>
  <c r="H694" i="2"/>
  <c r="J694" i="2" s="1"/>
  <c r="H695" i="2"/>
  <c r="J695" i="2" s="1"/>
  <c r="H696" i="2"/>
  <c r="J696" i="2" s="1"/>
  <c r="H624" i="2"/>
  <c r="J624" i="2" s="1"/>
  <c r="H627" i="2"/>
  <c r="J627" i="2" s="1"/>
  <c r="H632" i="2"/>
  <c r="J632" i="2" s="1"/>
  <c r="H633" i="2"/>
  <c r="J633" i="2" s="1"/>
  <c r="H634" i="2"/>
  <c r="J634" i="2" s="1"/>
  <c r="H635" i="2"/>
  <c r="J635" i="2" s="1"/>
  <c r="H636" i="2"/>
  <c r="J636" i="2" s="1"/>
  <c r="H639" i="2"/>
  <c r="J639" i="2" s="1"/>
  <c r="H640" i="2"/>
  <c r="J640" i="2" s="1"/>
  <c r="H643" i="2"/>
  <c r="J643" i="2" s="1"/>
  <c r="H646" i="2"/>
  <c r="J646" i="2" s="1"/>
  <c r="H647" i="2"/>
  <c r="J647" i="2" s="1"/>
  <c r="H609" i="2"/>
  <c r="J609" i="2" s="1"/>
  <c r="H610" i="2"/>
  <c r="J610" i="2" s="1"/>
  <c r="H616" i="2"/>
  <c r="J616" i="2" s="1"/>
  <c r="H617" i="2"/>
  <c r="J617" i="2" s="1"/>
  <c r="H701" i="2"/>
  <c r="J701" i="2" s="1"/>
  <c r="H702" i="2"/>
  <c r="J702" i="2" s="1"/>
  <c r="H723" i="2"/>
  <c r="J723" i="2" s="1"/>
  <c r="H667" i="2"/>
  <c r="J667" i="2" s="1"/>
  <c r="H668" i="2"/>
  <c r="J668" i="2" s="1"/>
  <c r="H652" i="2"/>
  <c r="J652" i="2" s="1"/>
  <c r="H653" i="2"/>
  <c r="J653" i="2" s="1"/>
  <c r="H654" i="2"/>
  <c r="J654" i="2" s="1"/>
  <c r="H543" i="2"/>
  <c r="J543" i="2" s="1"/>
  <c r="H539" i="2"/>
  <c r="J539" i="2" s="1"/>
  <c r="H545" i="2"/>
  <c r="J545" i="2" s="1"/>
  <c r="H546" i="2"/>
  <c r="J546" i="2" s="1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H458" i="2"/>
  <c r="J458" i="2" s="1"/>
  <c r="H461" i="2"/>
  <c r="J461" i="2" s="1"/>
  <c r="H463" i="2"/>
  <c r="J463" i="2" s="1"/>
  <c r="H460" i="2"/>
  <c r="J460" i="2" s="1"/>
  <c r="H485" i="2"/>
  <c r="J485" i="2" s="1"/>
  <c r="H464" i="2"/>
  <c r="J464" i="2" s="1"/>
  <c r="H451" i="2"/>
  <c r="J451" i="2" s="1"/>
  <c r="H452" i="2"/>
  <c r="J452" i="2" s="1"/>
  <c r="H453" i="2"/>
  <c r="J453" i="2" s="1"/>
  <c r="H446" i="2"/>
  <c r="J446" i="2" s="1"/>
  <c r="H447" i="2"/>
  <c r="J447" i="2" s="1"/>
  <c r="H448" i="2"/>
  <c r="J448" i="2" s="1"/>
  <c r="H368" i="2"/>
  <c r="J368" i="2" s="1"/>
  <c r="H369" i="2"/>
  <c r="J369" i="2" s="1"/>
  <c r="H370" i="2"/>
  <c r="J370" i="2" s="1"/>
  <c r="H358" i="2"/>
  <c r="J358" i="2" s="1"/>
  <c r="H356" i="2"/>
  <c r="J356" i="2" s="1"/>
  <c r="H359" i="2"/>
  <c r="H346" i="2"/>
  <c r="J346" i="2" s="1"/>
  <c r="H347" i="2"/>
  <c r="J347" i="2" s="1"/>
  <c r="H348" i="2"/>
  <c r="J348" i="2" s="1"/>
  <c r="H350" i="2"/>
  <c r="J350" i="2" s="1"/>
  <c r="H351" i="2"/>
  <c r="J351" i="2" s="1"/>
  <c r="H352" i="2"/>
  <c r="J352" i="2" s="1"/>
  <c r="H353" i="2"/>
  <c r="J353" i="2" s="1"/>
  <c r="H354" i="2"/>
  <c r="J354" i="2" s="1"/>
  <c r="H284" i="2"/>
  <c r="J284" i="2" s="1"/>
  <c r="H285" i="2"/>
  <c r="J285" i="2" s="1"/>
  <c r="H286" i="2"/>
  <c r="J286" i="2" s="1"/>
  <c r="H287" i="2"/>
  <c r="J287" i="2" s="1"/>
  <c r="H288" i="2"/>
  <c r="J288" i="2" s="1"/>
  <c r="H289" i="2"/>
  <c r="J289" i="2" s="1"/>
  <c r="H290" i="2"/>
  <c r="J290" i="2" s="1"/>
  <c r="H291" i="2"/>
  <c r="J291" i="2" s="1"/>
  <c r="H292" i="2"/>
  <c r="J292" i="2" s="1"/>
  <c r="H293" i="2"/>
  <c r="J293" i="2" s="1"/>
  <c r="H294" i="2"/>
  <c r="J294" i="2" s="1"/>
  <c r="H295" i="2"/>
  <c r="J295" i="2" s="1"/>
  <c r="H296" i="2"/>
  <c r="J296" i="2" s="1"/>
  <c r="H297" i="2"/>
  <c r="J297" i="2" s="1"/>
  <c r="H298" i="2"/>
  <c r="J298" i="2" s="1"/>
  <c r="H299" i="2"/>
  <c r="J299" i="2" s="1"/>
  <c r="H300" i="2"/>
  <c r="J300" i="2" s="1"/>
  <c r="H301" i="2"/>
  <c r="J301" i="2" s="1"/>
  <c r="H302" i="2"/>
  <c r="J302" i="2" s="1"/>
  <c r="H303" i="2"/>
  <c r="J303" i="2" s="1"/>
  <c r="H304" i="2"/>
  <c r="J304" i="2" s="1"/>
  <c r="H305" i="2"/>
  <c r="J305" i="2" s="1"/>
  <c r="H306" i="2"/>
  <c r="J306" i="2" s="1"/>
  <c r="H307" i="2"/>
  <c r="J307" i="2" s="1"/>
  <c r="H308" i="2"/>
  <c r="J308" i="2" s="1"/>
  <c r="H309" i="2"/>
  <c r="J309" i="2" s="1"/>
  <c r="H310" i="2"/>
  <c r="J310" i="2" s="1"/>
  <c r="H311" i="2"/>
  <c r="J311" i="2" s="1"/>
  <c r="H312" i="2"/>
  <c r="J312" i="2" s="1"/>
  <c r="H313" i="2"/>
  <c r="J313" i="2" s="1"/>
  <c r="H314" i="2"/>
  <c r="J314" i="2" s="1"/>
  <c r="H315" i="2"/>
  <c r="J315" i="2" s="1"/>
  <c r="H316" i="2"/>
  <c r="J316" i="2" s="1"/>
  <c r="H320" i="2"/>
  <c r="J320" i="2" s="1"/>
  <c r="H108" i="2"/>
  <c r="J108" i="2" s="1"/>
  <c r="H109" i="2"/>
  <c r="J109" i="2" s="1"/>
  <c r="H110" i="2"/>
  <c r="J110" i="2" s="1"/>
  <c r="H112" i="2"/>
  <c r="J112" i="2" s="1"/>
  <c r="H99" i="2"/>
  <c r="J99" i="2" s="1"/>
  <c r="H100" i="2"/>
  <c r="J100" i="2" s="1"/>
  <c r="H101" i="2"/>
  <c r="J101" i="2" s="1"/>
  <c r="H102" i="2"/>
  <c r="J102" i="2" s="1"/>
  <c r="H103" i="2"/>
  <c r="J103" i="2" s="1"/>
  <c r="H93" i="2"/>
  <c r="J93" i="2" s="1"/>
  <c r="H94" i="2"/>
  <c r="J94" i="2" s="1"/>
  <c r="H85" i="2"/>
  <c r="H84" i="2"/>
  <c r="H83" i="2"/>
  <c r="H82" i="2"/>
  <c r="H81" i="2"/>
  <c r="H28" i="2"/>
  <c r="J28" i="2" s="1"/>
  <c r="H29" i="2"/>
  <c r="J29" i="2" s="1"/>
  <c r="H30" i="2"/>
  <c r="J30" i="2" s="1"/>
  <c r="H31" i="2"/>
  <c r="H1590" i="2" l="1"/>
  <c r="J1590" i="2" s="1"/>
  <c r="H1591" i="2"/>
  <c r="J1591" i="2" s="1"/>
  <c r="H1592" i="2"/>
  <c r="J1592" i="2" s="1"/>
  <c r="H1593" i="2"/>
  <c r="J1593" i="2" s="1"/>
  <c r="H1594" i="2"/>
  <c r="J1594" i="2" s="1"/>
  <c r="H1595" i="2"/>
  <c r="J1595" i="2" s="1"/>
  <c r="H1596" i="2"/>
  <c r="H1550" i="2"/>
  <c r="J1550" i="2" s="1"/>
  <c r="H1551" i="2"/>
  <c r="J1551" i="2" s="1"/>
  <c r="H1367" i="2"/>
  <c r="J1367" i="2" s="1"/>
  <c r="H1368" i="2"/>
  <c r="J1368" i="2" s="1"/>
  <c r="H1369" i="2"/>
  <c r="J1369" i="2" s="1"/>
  <c r="H1370" i="2"/>
  <c r="J1370" i="2" s="1"/>
  <c r="H1372" i="2"/>
  <c r="J1372" i="2" s="1"/>
  <c r="H1354" i="2"/>
  <c r="J1354" i="2" s="1"/>
  <c r="H1355" i="2"/>
  <c r="J1355" i="2" s="1"/>
  <c r="H1356" i="2"/>
  <c r="J1356" i="2" s="1"/>
  <c r="H1357" i="2"/>
  <c r="J1357" i="2" s="1"/>
  <c r="H1358" i="2"/>
  <c r="J1358" i="2" s="1"/>
  <c r="H1360" i="2"/>
  <c r="J1360" i="2" s="1"/>
  <c r="H1234" i="2"/>
  <c r="J1234" i="2" s="1"/>
  <c r="H40" i="2"/>
  <c r="J40" i="2" s="1"/>
  <c r="H1001" i="2"/>
  <c r="J1001" i="2" s="1"/>
  <c r="H1002" i="2"/>
  <c r="J1002" i="2" s="1"/>
  <c r="H1026" i="2"/>
  <c r="J1026" i="2" s="1"/>
  <c r="H997" i="2"/>
  <c r="J997" i="2" s="1"/>
  <c r="H1004" i="2"/>
  <c r="J1004" i="2" s="1"/>
  <c r="H1005" i="2"/>
  <c r="J1005" i="2" s="1"/>
  <c r="H999" i="2"/>
  <c r="J999" i="2" s="1"/>
  <c r="H1007" i="2"/>
  <c r="J1007" i="2" s="1"/>
  <c r="H1008" i="2"/>
  <c r="J1008" i="2" s="1"/>
  <c r="H1010" i="2"/>
  <c r="J1010" i="2" s="1"/>
  <c r="H1012" i="2"/>
  <c r="J1012" i="2" s="1"/>
  <c r="H1006" i="2"/>
  <c r="J1006" i="2" s="1"/>
  <c r="H1003" i="2"/>
  <c r="J1003" i="2" s="1"/>
  <c r="H1011" i="2"/>
  <c r="J1011" i="2" s="1"/>
  <c r="H1014" i="2"/>
  <c r="J1014" i="2" s="1"/>
  <c r="H1000" i="2"/>
  <c r="J1000" i="2" s="1"/>
  <c r="H875" i="2"/>
  <c r="J875" i="2" s="1"/>
  <c r="H1009" i="2"/>
  <c r="J1009" i="2" s="1"/>
  <c r="H941" i="2"/>
  <c r="J941" i="2" s="1"/>
  <c r="H943" i="2"/>
  <c r="J943" i="2" s="1"/>
  <c r="H945" i="2"/>
  <c r="J945" i="2" s="1"/>
  <c r="H38" i="2"/>
  <c r="J38" i="2" s="1"/>
  <c r="H39" i="2"/>
  <c r="J39" i="2" s="1"/>
  <c r="H970" i="2"/>
  <c r="J970" i="2" s="1"/>
  <c r="H937" i="2"/>
  <c r="J937" i="2" s="1"/>
  <c r="H938" i="2"/>
  <c r="J938" i="2" s="1"/>
  <c r="H972" i="2"/>
  <c r="J972" i="2" s="1"/>
  <c r="H940" i="2"/>
  <c r="J940" i="2" s="1"/>
  <c r="H942" i="2"/>
  <c r="J942" i="2" s="1"/>
  <c r="H944" i="2"/>
  <c r="J944" i="2" s="1"/>
  <c r="H973" i="2"/>
  <c r="J973" i="2" s="1"/>
  <c r="H1013" i="2"/>
  <c r="H974" i="2"/>
  <c r="J974" i="2" s="1"/>
  <c r="H975" i="2"/>
  <c r="J975" i="2" s="1"/>
  <c r="H968" i="2"/>
  <c r="J968" i="2" s="1"/>
  <c r="H949" i="2"/>
  <c r="J949" i="2" s="1"/>
  <c r="H950" i="2"/>
  <c r="J950" i="2" s="1"/>
  <c r="H951" i="2"/>
  <c r="J951" i="2" s="1"/>
  <c r="H952" i="2"/>
  <c r="J952" i="2" s="1"/>
  <c r="H953" i="2"/>
  <c r="J953" i="2" s="1"/>
  <c r="H955" i="2"/>
  <c r="J955" i="2" s="1"/>
  <c r="H976" i="2"/>
  <c r="J976" i="2" s="1"/>
  <c r="H962" i="2"/>
  <c r="J962" i="2" s="1"/>
  <c r="H963" i="2"/>
  <c r="J963" i="2" s="1"/>
  <c r="H964" i="2"/>
  <c r="J964" i="2" s="1"/>
  <c r="H965" i="2"/>
  <c r="J965" i="2" s="1"/>
  <c r="H966" i="2"/>
  <c r="J966" i="2" s="1"/>
  <c r="H967" i="2"/>
  <c r="J967" i="2" s="1"/>
  <c r="H954" i="2"/>
  <c r="J954" i="2" s="1"/>
  <c r="H971" i="2"/>
  <c r="J971" i="2" s="1"/>
  <c r="H969" i="2"/>
  <c r="J969" i="2" s="1"/>
  <c r="H977" i="2"/>
  <c r="J977" i="2" s="1"/>
  <c r="H978" i="2"/>
  <c r="J978" i="2" s="1"/>
  <c r="H979" i="2"/>
  <c r="J979" i="2" s="1"/>
  <c r="H980" i="2"/>
  <c r="J980" i="2" s="1"/>
  <c r="H981" i="2"/>
  <c r="J981" i="2" s="1"/>
  <c r="H982" i="2"/>
  <c r="J982" i="2" s="1"/>
  <c r="H983" i="2"/>
  <c r="J983" i="2" s="1"/>
  <c r="I1013" i="2"/>
  <c r="H916" i="2"/>
  <c r="J916" i="2" s="1"/>
  <c r="H915" i="2"/>
  <c r="J915" i="2" s="1"/>
  <c r="H910" i="2"/>
  <c r="J910" i="2" s="1"/>
  <c r="H939" i="2"/>
  <c r="J939" i="2" s="1"/>
  <c r="H909" i="2"/>
  <c r="J909" i="2" s="1"/>
  <c r="H914" i="2"/>
  <c r="J914" i="2" s="1"/>
  <c r="H911" i="2"/>
  <c r="J911" i="2" s="1"/>
  <c r="H908" i="2"/>
  <c r="J908" i="2" s="1"/>
  <c r="H905" i="2"/>
  <c r="J905" i="2" s="1"/>
  <c r="H904" i="2"/>
  <c r="J904" i="2" s="1"/>
  <c r="H850" i="2"/>
  <c r="J850" i="2" s="1"/>
  <c r="H930" i="2"/>
  <c r="J930" i="2" s="1"/>
  <c r="K932" i="2" s="1"/>
  <c r="H851" i="2"/>
  <c r="J851" i="2" s="1"/>
  <c r="H852" i="2"/>
  <c r="J852" i="2" s="1"/>
  <c r="H853" i="2"/>
  <c r="J853" i="2" s="1"/>
  <c r="H854" i="2"/>
  <c r="J854" i="2" s="1"/>
  <c r="H855" i="2"/>
  <c r="J855" i="2" s="1"/>
  <c r="H856" i="2"/>
  <c r="J856" i="2" s="1"/>
  <c r="H857" i="2"/>
  <c r="J857" i="2" s="1"/>
  <c r="H858" i="2"/>
  <c r="J858" i="2" s="1"/>
  <c r="H859" i="2"/>
  <c r="J859" i="2" s="1"/>
  <c r="H860" i="2"/>
  <c r="J860" i="2" s="1"/>
  <c r="H861" i="2"/>
  <c r="J861" i="2" s="1"/>
  <c r="H862" i="2"/>
  <c r="J862" i="2" s="1"/>
  <c r="H863" i="2"/>
  <c r="J863" i="2" s="1"/>
  <c r="H864" i="2"/>
  <c r="J864" i="2" s="1"/>
  <c r="H865" i="2"/>
  <c r="J865" i="2" s="1"/>
  <c r="H866" i="2"/>
  <c r="J866" i="2" s="1"/>
  <c r="H867" i="2"/>
  <c r="J867" i="2" s="1"/>
  <c r="H868" i="2"/>
  <c r="J868" i="2" s="1"/>
  <c r="H869" i="2"/>
  <c r="J869" i="2" s="1"/>
  <c r="H870" i="2"/>
  <c r="J870" i="2" s="1"/>
  <c r="H871" i="2"/>
  <c r="J871" i="2" s="1"/>
  <c r="H872" i="2"/>
  <c r="J872" i="2" s="1"/>
  <c r="H873" i="2"/>
  <c r="J873" i="2" s="1"/>
  <c r="H874" i="2"/>
  <c r="J874" i="2" s="1"/>
  <c r="H842" i="2"/>
  <c r="J842" i="2" s="1"/>
  <c r="H843" i="2"/>
  <c r="J843" i="2" s="1"/>
  <c r="H844" i="2"/>
  <c r="J844" i="2" s="1"/>
  <c r="H845" i="2"/>
  <c r="J845" i="2" s="1"/>
  <c r="H846" i="2"/>
  <c r="J846" i="2" s="1"/>
  <c r="H847" i="2"/>
  <c r="J847" i="2" s="1"/>
  <c r="H848" i="2"/>
  <c r="J848" i="2" s="1"/>
  <c r="H603" i="2"/>
  <c r="J603" i="2" s="1"/>
  <c r="H180" i="2"/>
  <c r="J180" i="2" s="1"/>
  <c r="K181" i="2" s="1"/>
  <c r="D30" i="1" s="1"/>
  <c r="J1013" i="2" l="1"/>
  <c r="H1418" i="2"/>
  <c r="J1418" i="2" s="1"/>
  <c r="K1419" i="2" s="1"/>
  <c r="H1405" i="2"/>
  <c r="J1405" i="2" s="1"/>
  <c r="H1406" i="2"/>
  <c r="J1406" i="2" s="1"/>
  <c r="H1389" i="2"/>
  <c r="J1389" i="2" s="1"/>
  <c r="H1394" i="2"/>
  <c r="J1394" i="2" s="1"/>
  <c r="H1381" i="2"/>
  <c r="J1381" i="2" s="1"/>
  <c r="H1343" i="2"/>
  <c r="J1343" i="2" s="1"/>
  <c r="H1344" i="2"/>
  <c r="J1344" i="2" s="1"/>
  <c r="H1345" i="2"/>
  <c r="J1345" i="2" s="1"/>
  <c r="H1346" i="2"/>
  <c r="J1346" i="2" s="1"/>
  <c r="H1341" i="2"/>
  <c r="J1341" i="2" s="1"/>
  <c r="H1342" i="2"/>
  <c r="J1342" i="2" s="1"/>
  <c r="H1347" i="2"/>
  <c r="J1347" i="2" s="1"/>
  <c r="H1348" i="2"/>
  <c r="J1348" i="2" s="1"/>
  <c r="H1304" i="2"/>
  <c r="J1304" i="2" s="1"/>
  <c r="H1303" i="2"/>
  <c r="J1303" i="2" s="1"/>
  <c r="H1302" i="2"/>
  <c r="J1302" i="2" s="1"/>
  <c r="H1272" i="2"/>
  <c r="J1272" i="2" s="1"/>
  <c r="H1273" i="2"/>
  <c r="J1273" i="2" s="1"/>
  <c r="H1274" i="2"/>
  <c r="J1274" i="2" s="1"/>
  <c r="H1276" i="2"/>
  <c r="J1276" i="2" s="1"/>
  <c r="H1277" i="2"/>
  <c r="J1277" i="2" s="1"/>
  <c r="H1278" i="2"/>
  <c r="J1278" i="2" s="1"/>
  <c r="H1279" i="2"/>
  <c r="J1279" i="2" s="1"/>
  <c r="H1280" i="2"/>
  <c r="J1280" i="2" s="1"/>
  <c r="H1281" i="2"/>
  <c r="J1281" i="2" s="1"/>
  <c r="H1282" i="2"/>
  <c r="J1282" i="2" s="1"/>
  <c r="H1283" i="2"/>
  <c r="J1283" i="2" s="1"/>
  <c r="H1285" i="2"/>
  <c r="J1285" i="2" s="1"/>
  <c r="H1287" i="2"/>
  <c r="J1287" i="2" s="1"/>
  <c r="H1288" i="2"/>
  <c r="J1288" i="2" s="1"/>
  <c r="H1289" i="2"/>
  <c r="J1289" i="2" s="1"/>
  <c r="H1290" i="2"/>
  <c r="J1290" i="2" s="1"/>
  <c r="H1266" i="2"/>
  <c r="J1266" i="2" s="1"/>
  <c r="H1265" i="2"/>
  <c r="J1265" i="2" s="1"/>
  <c r="H1264" i="2"/>
  <c r="J1264" i="2" s="1"/>
  <c r="H1263" i="2"/>
  <c r="J1263" i="2" s="1"/>
  <c r="H1215" i="2"/>
  <c r="J1215" i="2" s="1"/>
  <c r="H1235" i="2"/>
  <c r="J1235" i="2" s="1"/>
  <c r="H1244" i="2"/>
  <c r="J1244" i="2" s="1"/>
  <c r="H1233" i="2"/>
  <c r="J1233" i="2" s="1"/>
  <c r="H1236" i="2"/>
  <c r="J1236" i="2" s="1"/>
  <c r="H1135" i="2"/>
  <c r="J1135" i="2" s="1"/>
  <c r="H1136" i="2"/>
  <c r="J1136" i="2" s="1"/>
  <c r="H1137" i="2"/>
  <c r="J1137" i="2" s="1"/>
  <c r="H1138" i="2"/>
  <c r="J1138" i="2" s="1"/>
  <c r="H1139" i="2"/>
  <c r="J1139" i="2" s="1"/>
  <c r="H1140" i="2"/>
  <c r="J1140" i="2" s="1"/>
  <c r="H60" i="2"/>
  <c r="J60" i="2" s="1"/>
  <c r="H1141" i="2"/>
  <c r="J1141" i="2" s="1"/>
  <c r="H1142" i="2"/>
  <c r="J1142" i="2" s="1"/>
  <c r="H1143" i="2"/>
  <c r="J1143" i="2" s="1"/>
  <c r="H1144" i="2"/>
  <c r="J1144" i="2" s="1"/>
  <c r="H1145" i="2"/>
  <c r="J1145" i="2" s="1"/>
  <c r="H1146" i="2"/>
  <c r="J1146" i="2" s="1"/>
  <c r="H1147" i="2"/>
  <c r="J1147" i="2" s="1"/>
  <c r="H1148" i="2"/>
  <c r="J1148" i="2" s="1"/>
  <c r="H1149" i="2"/>
  <c r="J1149" i="2" s="1"/>
  <c r="H1150" i="2"/>
  <c r="J1150" i="2" s="1"/>
  <c r="H1151" i="2"/>
  <c r="J1151" i="2" s="1"/>
  <c r="H1152" i="2"/>
  <c r="J1152" i="2" s="1"/>
  <c r="H1153" i="2"/>
  <c r="J1153" i="2" s="1"/>
  <c r="H1154" i="2"/>
  <c r="J1154" i="2" s="1"/>
  <c r="H1155" i="2"/>
  <c r="J1155" i="2" s="1"/>
  <c r="H1156" i="2"/>
  <c r="J1156" i="2" s="1"/>
  <c r="H1157" i="2"/>
  <c r="J1157" i="2" s="1"/>
  <c r="H1158" i="2"/>
  <c r="J1158" i="2" s="1"/>
  <c r="H1159" i="2"/>
  <c r="J1159" i="2" s="1"/>
  <c r="H1160" i="2"/>
  <c r="J1160" i="2" s="1"/>
  <c r="H1161" i="2"/>
  <c r="J1161" i="2" s="1"/>
  <c r="H1162" i="2"/>
  <c r="J1162" i="2" s="1"/>
  <c r="H1163" i="2"/>
  <c r="J1163" i="2" s="1"/>
  <c r="H1164" i="2"/>
  <c r="J1164" i="2" s="1"/>
  <c r="H1165" i="2"/>
  <c r="J1165" i="2" s="1"/>
  <c r="H1166" i="2"/>
  <c r="J1166" i="2" s="1"/>
  <c r="H1167" i="2"/>
  <c r="J1167" i="2" s="1"/>
  <c r="H1168" i="2"/>
  <c r="J1168" i="2" s="1"/>
  <c r="H1169" i="2"/>
  <c r="J1169" i="2" s="1"/>
  <c r="H1170" i="2"/>
  <c r="J1170" i="2" s="1"/>
  <c r="H1171" i="2"/>
  <c r="J1171" i="2" s="1"/>
  <c r="H1172" i="2"/>
  <c r="J1172" i="2" s="1"/>
  <c r="H1173" i="2"/>
  <c r="J1173" i="2" s="1"/>
  <c r="H1174" i="2"/>
  <c r="J1174" i="2" s="1"/>
  <c r="H1175" i="2"/>
  <c r="J1175" i="2" s="1"/>
  <c r="H1176" i="2"/>
  <c r="J1176" i="2" s="1"/>
  <c r="H1177" i="2"/>
  <c r="J1177" i="2" s="1"/>
  <c r="H1178" i="2"/>
  <c r="J1178" i="2" s="1"/>
  <c r="H1179" i="2"/>
  <c r="J1179" i="2" s="1"/>
  <c r="H1180" i="2"/>
  <c r="J1180" i="2" s="1"/>
  <c r="H1181" i="2"/>
  <c r="J1181" i="2" s="1"/>
  <c r="H1182" i="2"/>
  <c r="J1182" i="2" s="1"/>
  <c r="H1183" i="2"/>
  <c r="J1183" i="2" s="1"/>
  <c r="H1184" i="2"/>
  <c r="J1184" i="2" s="1"/>
  <c r="H1185" i="2"/>
  <c r="J1185" i="2" s="1"/>
  <c r="H1186" i="2"/>
  <c r="J1186" i="2" s="1"/>
  <c r="H1187" i="2"/>
  <c r="J1187" i="2" s="1"/>
  <c r="H1188" i="2"/>
  <c r="J1188" i="2" s="1"/>
  <c r="H1189" i="2"/>
  <c r="J1189" i="2" s="1"/>
  <c r="H1190" i="2"/>
  <c r="J1190" i="2" s="1"/>
  <c r="H1191" i="2"/>
  <c r="J1191" i="2" s="1"/>
  <c r="H1192" i="2"/>
  <c r="J1192" i="2" s="1"/>
  <c r="H1193" i="2"/>
  <c r="J1193" i="2" s="1"/>
  <c r="H1194" i="2"/>
  <c r="J1194" i="2" s="1"/>
  <c r="H1195" i="2"/>
  <c r="J1195" i="2" s="1"/>
  <c r="H487" i="2"/>
  <c r="J487" i="2" s="1"/>
  <c r="H488" i="2"/>
  <c r="J488" i="2" s="1"/>
  <c r="H489" i="2"/>
  <c r="J489" i="2" s="1"/>
  <c r="H490" i="2"/>
  <c r="J490" i="2" s="1"/>
  <c r="H491" i="2"/>
  <c r="J491" i="2" s="1"/>
  <c r="H492" i="2"/>
  <c r="J492" i="2" s="1"/>
  <c r="H494" i="2"/>
  <c r="J494" i="2" s="1"/>
  <c r="H317" i="2"/>
  <c r="J317" i="2" s="1"/>
  <c r="H318" i="2"/>
  <c r="J318" i="2" s="1"/>
  <c r="H497" i="2"/>
  <c r="J497" i="2" s="1"/>
  <c r="H496" i="2"/>
  <c r="J496" i="2" s="1"/>
  <c r="H495" i="2"/>
  <c r="J495" i="2" s="1"/>
  <c r="H465" i="2"/>
  <c r="J465" i="2" s="1"/>
  <c r="H466" i="2"/>
  <c r="J466" i="2" s="1"/>
  <c r="H467" i="2"/>
  <c r="J467" i="2" s="1"/>
  <c r="H468" i="2"/>
  <c r="J468" i="2" s="1"/>
  <c r="H469" i="2"/>
  <c r="J469" i="2" s="1"/>
  <c r="H470" i="2"/>
  <c r="J470" i="2" s="1"/>
  <c r="H471" i="2"/>
  <c r="J471" i="2" s="1"/>
  <c r="H472" i="2"/>
  <c r="J472" i="2" s="1"/>
  <c r="H473" i="2"/>
  <c r="J473" i="2" s="1"/>
  <c r="H474" i="2"/>
  <c r="J474" i="2" s="1"/>
  <c r="H475" i="2"/>
  <c r="J475" i="2" s="1"/>
  <c r="H476" i="2"/>
  <c r="J476" i="2" s="1"/>
  <c r="K499" i="2" l="1"/>
  <c r="K1305" i="2"/>
  <c r="K1349" i="2"/>
  <c r="H924" i="2"/>
  <c r="J924" i="2" s="1"/>
  <c r="H925" i="2"/>
  <c r="J925" i="2" s="1"/>
  <c r="H365" i="2"/>
  <c r="J365" i="2" s="1"/>
  <c r="K366" i="2" s="1"/>
  <c r="H1126" i="2"/>
  <c r="J1126" i="2" s="1"/>
  <c r="H1125" i="2"/>
  <c r="J1125" i="2" s="1"/>
  <c r="H1124" i="2"/>
  <c r="J1124" i="2" s="1"/>
  <c r="H1123" i="2"/>
  <c r="J1123" i="2" s="1"/>
  <c r="H1122" i="2"/>
  <c r="J1122" i="2" s="1"/>
  <c r="H1121" i="2"/>
  <c r="J1121" i="2" s="1"/>
  <c r="H1120" i="2"/>
  <c r="J1120" i="2" s="1"/>
  <c r="H1119" i="2"/>
  <c r="J1119" i="2" s="1"/>
  <c r="H1118" i="2"/>
  <c r="J1118" i="2" s="1"/>
  <c r="H1117" i="2"/>
  <c r="J1117" i="2" s="1"/>
  <c r="H1116" i="2"/>
  <c r="J1116" i="2" s="1"/>
  <c r="H1115" i="2"/>
  <c r="J1115" i="2" s="1"/>
  <c r="H1114" i="2"/>
  <c r="J1114" i="2" s="1"/>
  <c r="H1113" i="2"/>
  <c r="J1113" i="2" s="1"/>
  <c r="H1112" i="2"/>
  <c r="J1112" i="2" s="1"/>
  <c r="H1111" i="2"/>
  <c r="J1111" i="2" s="1"/>
  <c r="H1110" i="2"/>
  <c r="J1110" i="2" s="1"/>
  <c r="H1109" i="2"/>
  <c r="J1109" i="2" s="1"/>
  <c r="H1108" i="2"/>
  <c r="J1108" i="2" s="1"/>
  <c r="H1107" i="2"/>
  <c r="J1107" i="2" s="1"/>
  <c r="H1106" i="2"/>
  <c r="J1106" i="2" s="1"/>
  <c r="H1105" i="2"/>
  <c r="J1105" i="2" s="1"/>
  <c r="H1104" i="2"/>
  <c r="J1104" i="2" s="1"/>
  <c r="H1103" i="2"/>
  <c r="J1103" i="2" s="1"/>
  <c r="H1102" i="2"/>
  <c r="J1102" i="2" s="1"/>
  <c r="H1101" i="2"/>
  <c r="J1101" i="2" s="1"/>
  <c r="H1100" i="2"/>
  <c r="J1100" i="2" s="1"/>
  <c r="H1099" i="2"/>
  <c r="J1099" i="2" s="1"/>
  <c r="H1098" i="2"/>
  <c r="J1098" i="2" s="1"/>
  <c r="H1391" i="2"/>
  <c r="J1391" i="2" s="1"/>
  <c r="H1390" i="2"/>
  <c r="J1390" i="2" s="1"/>
  <c r="H1097" i="2"/>
  <c r="J1097" i="2" s="1"/>
  <c r="H1096" i="2"/>
  <c r="J1096" i="2" s="1"/>
  <c r="H1072" i="2"/>
  <c r="J1072" i="2" s="1"/>
  <c r="H1074" i="2"/>
  <c r="J1074" i="2" s="1"/>
  <c r="H880" i="2"/>
  <c r="J880" i="2" s="1"/>
  <c r="H881" i="2"/>
  <c r="J881" i="2" s="1"/>
  <c r="H331" i="2"/>
  <c r="J331" i="2" s="1"/>
  <c r="H332" i="2"/>
  <c r="J332" i="2" s="1"/>
  <c r="H333" i="2"/>
  <c r="J333" i="2" s="1"/>
  <c r="H334" i="2"/>
  <c r="J334" i="2" s="1"/>
  <c r="H335" i="2"/>
  <c r="J335" i="2" s="1"/>
  <c r="H336" i="2"/>
  <c r="J336" i="2" s="1"/>
  <c r="H337" i="2"/>
  <c r="J337" i="2" s="1"/>
  <c r="H338" i="2"/>
  <c r="J338" i="2" s="1"/>
  <c r="H339" i="2"/>
  <c r="J339" i="2" s="1"/>
  <c r="H111" i="2"/>
  <c r="J111" i="2" s="1"/>
  <c r="H349" i="2"/>
  <c r="J349" i="2" s="1"/>
  <c r="H340" i="2"/>
  <c r="J340" i="2" s="1"/>
  <c r="H361" i="2"/>
  <c r="J361" i="2" s="1"/>
  <c r="K362" i="2" s="1"/>
  <c r="H341" i="2"/>
  <c r="J341" i="2" s="1"/>
  <c r="H342" i="2"/>
  <c r="J342" i="2" s="1"/>
  <c r="H343" i="2"/>
  <c r="J343" i="2" s="1"/>
  <c r="H344" i="2"/>
  <c r="J344" i="2" s="1"/>
  <c r="H345" i="2"/>
  <c r="J345" i="2" s="1"/>
  <c r="H281" i="2"/>
  <c r="J281" i="2" s="1"/>
  <c r="H282" i="2"/>
  <c r="J282" i="2" s="1"/>
  <c r="H283" i="2"/>
  <c r="J283" i="2" s="1"/>
  <c r="H118" i="2"/>
  <c r="J118" i="2" s="1"/>
  <c r="H119" i="2"/>
  <c r="J119" i="2" s="1"/>
  <c r="H114" i="2"/>
  <c r="J114" i="2" s="1"/>
  <c r="K115" i="2" s="1"/>
  <c r="D24" i="1" s="1"/>
  <c r="H120" i="2"/>
  <c r="J120" i="2" s="1"/>
  <c r="H123" i="2"/>
  <c r="J123" i="2" s="1"/>
  <c r="H88" i="2"/>
  <c r="J88" i="2" s="1"/>
  <c r="H87" i="2"/>
  <c r="J87" i="2" s="1"/>
  <c r="J85" i="2"/>
  <c r="J84" i="2"/>
  <c r="J83" i="2"/>
  <c r="J82" i="2"/>
  <c r="J81" i="2"/>
  <c r="H63" i="2"/>
  <c r="J63" i="2" s="1"/>
  <c r="H62" i="2"/>
  <c r="J62" i="2" s="1"/>
  <c r="H61" i="2"/>
  <c r="J61" i="2" s="1"/>
  <c r="H59" i="2"/>
  <c r="J59" i="2" s="1"/>
  <c r="H58" i="2"/>
  <c r="J58" i="2" s="1"/>
  <c r="H57" i="2"/>
  <c r="J57" i="2" s="1"/>
  <c r="H56" i="2"/>
  <c r="J56" i="2" s="1"/>
  <c r="H55" i="2"/>
  <c r="J55" i="2" s="1"/>
  <c r="H54" i="2"/>
  <c r="J54" i="2" s="1"/>
  <c r="H53" i="2"/>
  <c r="J53" i="2" s="1"/>
  <c r="H52" i="2"/>
  <c r="J52" i="2" s="1"/>
  <c r="H26" i="2"/>
  <c r="J26" i="2" s="1"/>
  <c r="K27" i="2" s="1"/>
  <c r="H51" i="2"/>
  <c r="J51" i="2" s="1"/>
  <c r="H50" i="2"/>
  <c r="J50" i="2" s="1"/>
  <c r="H49" i="2"/>
  <c r="J49" i="2" s="1"/>
  <c r="H48" i="2"/>
  <c r="J48" i="2" s="1"/>
  <c r="H1400" i="2"/>
  <c r="J1400" i="2" s="1"/>
  <c r="H1399" i="2"/>
  <c r="J1399" i="2" s="1"/>
  <c r="H1398" i="2"/>
  <c r="J1398" i="2" s="1"/>
  <c r="H1397" i="2"/>
  <c r="J1397" i="2" s="1"/>
  <c r="H1396" i="2"/>
  <c r="J1396" i="2" s="1"/>
  <c r="H600" i="2"/>
  <c r="J600" i="2" s="1"/>
  <c r="H601" i="2"/>
  <c r="J601" i="2" s="1"/>
  <c r="H602" i="2"/>
  <c r="J602" i="2" s="1"/>
  <c r="H595" i="2"/>
  <c r="J595" i="2" s="1"/>
  <c r="H596" i="2"/>
  <c r="J596" i="2" s="1"/>
  <c r="H597" i="2"/>
  <c r="J597" i="2" s="1"/>
  <c r="H598" i="2"/>
  <c r="J598" i="2" s="1"/>
  <c r="H599" i="2"/>
  <c r="J599" i="2" s="1"/>
  <c r="H542" i="2"/>
  <c r="J542" i="2" s="1"/>
  <c r="H540" i="2"/>
  <c r="J540" i="2" s="1"/>
  <c r="H541" i="2"/>
  <c r="J541" i="2" s="1"/>
  <c r="H477" i="2"/>
  <c r="J477" i="2" s="1"/>
  <c r="H478" i="2"/>
  <c r="J478" i="2" s="1"/>
  <c r="H479" i="2"/>
  <c r="J479" i="2" s="1"/>
  <c r="H480" i="2"/>
  <c r="J480" i="2" s="1"/>
  <c r="H481" i="2"/>
  <c r="J481" i="2" s="1"/>
  <c r="H482" i="2"/>
  <c r="J482" i="2" s="1"/>
  <c r="H483" i="2"/>
  <c r="J483" i="2" s="1"/>
  <c r="H484" i="2"/>
  <c r="J484" i="2" s="1"/>
  <c r="K64" i="2" l="1"/>
  <c r="K86" i="2"/>
  <c r="H1407" i="2" l="1"/>
  <c r="J1407" i="2" s="1"/>
  <c r="H1408" i="2"/>
  <c r="J1408" i="2" s="1"/>
  <c r="H1409" i="2"/>
  <c r="J1409" i="2" s="1"/>
  <c r="H762" i="2"/>
  <c r="J762" i="2" s="1"/>
  <c r="H764" i="2"/>
  <c r="J764" i="2" s="1"/>
  <c r="H765" i="2"/>
  <c r="J765" i="2" s="1"/>
  <c r="H768" i="2"/>
  <c r="J768" i="2" s="1"/>
  <c r="H755" i="2"/>
  <c r="J755" i="2" s="1"/>
  <c r="H756" i="2"/>
  <c r="J756" i="2" s="1"/>
  <c r="H758" i="2"/>
  <c r="J758" i="2" s="1"/>
  <c r="H759" i="2"/>
  <c r="J759" i="2" s="1"/>
  <c r="H760" i="2"/>
  <c r="J760" i="2" s="1"/>
  <c r="H779" i="2"/>
  <c r="J779" i="2" s="1"/>
  <c r="H780" i="2"/>
  <c r="J780" i="2" s="1"/>
  <c r="H203" i="2"/>
  <c r="J203" i="2" s="1"/>
  <c r="H204" i="2"/>
  <c r="J204" i="2" s="1"/>
  <c r="H205" i="2"/>
  <c r="J205" i="2" s="1"/>
  <c r="H206" i="2"/>
  <c r="J206" i="2" s="1"/>
  <c r="H278" i="2"/>
  <c r="J278" i="2" s="1"/>
  <c r="H279" i="2"/>
  <c r="J279" i="2" s="1"/>
  <c r="H280" i="2"/>
  <c r="H182" i="2"/>
  <c r="J182" i="2" s="1"/>
  <c r="H1516" i="2" l="1"/>
  <c r="J1516" i="2" s="1"/>
  <c r="H1410" i="2"/>
  <c r="J1410" i="2" s="1"/>
  <c r="H770" i="2"/>
  <c r="J770" i="2" s="1"/>
  <c r="H771" i="2"/>
  <c r="J771" i="2" s="1"/>
  <c r="H772" i="2"/>
  <c r="J772" i="2" s="1"/>
  <c r="H773" i="2"/>
  <c r="J773" i="2" s="1"/>
  <c r="H774" i="2"/>
  <c r="J774" i="2" s="1"/>
  <c r="H775" i="2"/>
  <c r="J775" i="2" s="1"/>
  <c r="H776" i="2"/>
  <c r="J776" i="2" s="1"/>
  <c r="H777" i="2"/>
  <c r="J777" i="2" s="1"/>
  <c r="H778" i="2"/>
  <c r="J778" i="2" s="1"/>
  <c r="H763" i="2"/>
  <c r="J763" i="2" s="1"/>
  <c r="H766" i="2"/>
  <c r="J766" i="2" s="1"/>
  <c r="H767" i="2"/>
  <c r="J767" i="2" s="1"/>
  <c r="H563" i="2"/>
  <c r="H564" i="2"/>
  <c r="J564" i="2" s="1"/>
  <c r="H565" i="2"/>
  <c r="J565" i="2" s="1"/>
  <c r="H566" i="2"/>
  <c r="J566" i="2" s="1"/>
  <c r="H567" i="2"/>
  <c r="J567" i="2" s="1"/>
  <c r="H568" i="2"/>
  <c r="J568" i="2" s="1"/>
  <c r="H569" i="2"/>
  <c r="J569" i="2" s="1"/>
  <c r="H201" i="2"/>
  <c r="J201" i="2" s="1"/>
  <c r="H202" i="2"/>
  <c r="J202" i="2" s="1"/>
  <c r="H188" i="2"/>
  <c r="J188" i="2" s="1"/>
  <c r="H189" i="2"/>
  <c r="J189" i="2" s="1"/>
  <c r="H190" i="2"/>
  <c r="J190" i="2" s="1"/>
  <c r="H191" i="2"/>
  <c r="J191" i="2" s="1"/>
  <c r="H192" i="2"/>
  <c r="J192" i="2" s="1"/>
  <c r="H193" i="2"/>
  <c r="J193" i="2" s="1"/>
  <c r="H194" i="2"/>
  <c r="J194" i="2" s="1"/>
  <c r="H195" i="2"/>
  <c r="J195" i="2" s="1"/>
  <c r="H1545" i="2"/>
  <c r="J1545" i="2" s="1"/>
  <c r="H1546" i="2"/>
  <c r="J1546" i="2" s="1"/>
  <c r="H1547" i="2"/>
  <c r="J1547" i="2" s="1"/>
  <c r="H1548" i="2"/>
  <c r="J1548" i="2" s="1"/>
  <c r="H1549" i="2"/>
  <c r="J1549" i="2" s="1"/>
  <c r="H1359" i="2"/>
  <c r="J1359" i="2" s="1"/>
  <c r="H1070" i="2"/>
  <c r="J1070" i="2" s="1"/>
  <c r="H1071" i="2"/>
  <c r="J1071" i="2" s="1"/>
  <c r="H1069" i="2"/>
  <c r="J1069" i="2" s="1"/>
  <c r="H570" i="2"/>
  <c r="J570" i="2" s="1"/>
  <c r="H934" i="2"/>
  <c r="J934" i="2" s="1"/>
  <c r="H732" i="2"/>
  <c r="J732" i="2" s="1"/>
  <c r="H623" i="2"/>
  <c r="J623" i="2" s="1"/>
  <c r="H620" i="2"/>
  <c r="J620" i="2" s="1"/>
  <c r="H626" i="2"/>
  <c r="J626" i="2" s="1"/>
  <c r="H625" i="2"/>
  <c r="J625" i="2" s="1"/>
  <c r="H731" i="2"/>
  <c r="J731" i="2" s="1"/>
  <c r="H730" i="2"/>
  <c r="J730" i="2" s="1"/>
  <c r="H729" i="2"/>
  <c r="J729" i="2" s="1"/>
  <c r="H728" i="2"/>
  <c r="J728" i="2" s="1"/>
  <c r="H711" i="2"/>
  <c r="J711" i="2" s="1"/>
  <c r="H710" i="2"/>
  <c r="J710" i="2" s="1"/>
  <c r="J709" i="2"/>
  <c r="H708" i="2"/>
  <c r="J708" i="2" s="1"/>
  <c r="H707" i="2"/>
  <c r="J707" i="2" s="1"/>
  <c r="H706" i="2"/>
  <c r="J706" i="2" s="1"/>
  <c r="H699" i="2"/>
  <c r="J699" i="2" s="1"/>
  <c r="H698" i="2"/>
  <c r="J698" i="2" s="1"/>
  <c r="H697" i="2"/>
  <c r="J697" i="2" s="1"/>
  <c r="H726" i="2"/>
  <c r="J726" i="2" s="1"/>
  <c r="H725" i="2"/>
  <c r="J725" i="2" s="1"/>
  <c r="H724" i="2"/>
  <c r="J724" i="2" s="1"/>
  <c r="H722" i="2"/>
  <c r="J722" i="2" s="1"/>
  <c r="H721" i="2"/>
  <c r="J721" i="2" s="1"/>
  <c r="H720" i="2"/>
  <c r="J720" i="2" s="1"/>
  <c r="H719" i="2"/>
  <c r="J719" i="2" s="1"/>
  <c r="H718" i="2"/>
  <c r="J718" i="2" s="1"/>
  <c r="H717" i="2"/>
  <c r="J717" i="2" s="1"/>
  <c r="H716" i="2"/>
  <c r="J716" i="2" s="1"/>
  <c r="H715" i="2"/>
  <c r="J715" i="2" s="1"/>
  <c r="H714" i="2"/>
  <c r="J714" i="2" s="1"/>
  <c r="H713" i="2"/>
  <c r="J713" i="2" s="1"/>
  <c r="H692" i="2"/>
  <c r="J692" i="2" s="1"/>
  <c r="H691" i="2"/>
  <c r="J691" i="2" s="1"/>
  <c r="H690" i="2"/>
  <c r="J690" i="2" s="1"/>
  <c r="H685" i="2"/>
  <c r="J685" i="2" s="1"/>
  <c r="H684" i="2"/>
  <c r="J684" i="2" s="1"/>
  <c r="H683" i="2"/>
  <c r="J683" i="2" s="1"/>
  <c r="H933" i="2"/>
  <c r="J933" i="2" s="1"/>
  <c r="J526" i="2"/>
  <c r="J527" i="2"/>
  <c r="J528" i="2"/>
  <c r="K935" i="2" l="1"/>
  <c r="D32" i="3"/>
  <c r="D36" i="3"/>
  <c r="H1214" i="2"/>
  <c r="J1214" i="2" s="1"/>
  <c r="H1216" i="2"/>
  <c r="J1216" i="2" s="1"/>
  <c r="H1218" i="2"/>
  <c r="J1218" i="2" s="1"/>
  <c r="H1223" i="2"/>
  <c r="J1223" i="2" s="1"/>
  <c r="H1225" i="2"/>
  <c r="J1225" i="2" s="1"/>
  <c r="H1227" i="2"/>
  <c r="J1227" i="2" s="1"/>
  <c r="H1226" i="2"/>
  <c r="J1226" i="2" s="1"/>
  <c r="H1219" i="2"/>
  <c r="J1219" i="2" s="1"/>
  <c r="H1229" i="2"/>
  <c r="J1229" i="2" s="1"/>
  <c r="H882" i="2"/>
  <c r="J882" i="2" s="1"/>
  <c r="H885" i="2"/>
  <c r="J885" i="2" s="1"/>
  <c r="H749" i="2"/>
  <c r="J749" i="2" s="1"/>
  <c r="H751" i="2"/>
  <c r="J751" i="2" s="1"/>
  <c r="H752" i="2"/>
  <c r="J752" i="2" s="1"/>
  <c r="H750" i="2"/>
  <c r="J750" i="2" s="1"/>
  <c r="H589" i="2"/>
  <c r="J589" i="2" s="1"/>
  <c r="H1211" i="2"/>
  <c r="J1211" i="2" s="1"/>
  <c r="H424" i="2"/>
  <c r="J424" i="2" s="1"/>
  <c r="H587" i="2"/>
  <c r="J587" i="2" s="1"/>
  <c r="H422" i="2"/>
  <c r="J422" i="2" s="1"/>
  <c r="H588" i="2"/>
  <c r="J588" i="2" s="1"/>
  <c r="H321" i="2"/>
  <c r="J321" i="2" s="1"/>
  <c r="H322" i="2"/>
  <c r="J322" i="2" s="1"/>
  <c r="H425" i="2"/>
  <c r="J425" i="2" s="1"/>
  <c r="H423" i="2"/>
  <c r="J423" i="2" s="1"/>
  <c r="H585" i="2"/>
  <c r="J585" i="2" s="1"/>
  <c r="H586" i="2"/>
  <c r="J586" i="2" s="1"/>
  <c r="H421" i="2"/>
  <c r="J421" i="2" s="1"/>
  <c r="H741" i="2"/>
  <c r="J741" i="2" s="1"/>
  <c r="H742" i="2"/>
  <c r="J742" i="2" s="1"/>
  <c r="H743" i="2"/>
  <c r="J743" i="2" s="1"/>
  <c r="H744" i="2"/>
  <c r="J744" i="2" s="1"/>
  <c r="H745" i="2"/>
  <c r="H666" i="2"/>
  <c r="J666" i="2" s="1"/>
  <c r="H551" i="2"/>
  <c r="J551" i="2" s="1"/>
  <c r="H552" i="2"/>
  <c r="J552" i="2" s="1"/>
  <c r="H553" i="2"/>
  <c r="J553" i="2" s="1"/>
  <c r="H554" i="2"/>
  <c r="J554" i="2" s="1"/>
  <c r="H555" i="2"/>
  <c r="J555" i="2" s="1"/>
  <c r="H556" i="2"/>
  <c r="J556" i="2" s="1"/>
  <c r="H557" i="2"/>
  <c r="J557" i="2" s="1"/>
  <c r="H558" i="2"/>
  <c r="J558" i="2" s="1"/>
  <c r="H559" i="2"/>
  <c r="J559" i="2" s="1"/>
  <c r="H560" i="2"/>
  <c r="J560" i="2" s="1"/>
  <c r="H561" i="2"/>
  <c r="J561" i="2" s="1"/>
  <c r="H562" i="2"/>
  <c r="J562" i="2" s="1"/>
  <c r="J563" i="2"/>
  <c r="H445" i="2"/>
  <c r="J445" i="2" s="1"/>
  <c r="H438" i="2"/>
  <c r="J438" i="2" s="1"/>
  <c r="H439" i="2"/>
  <c r="J439" i="2" s="1"/>
  <c r="H440" i="2"/>
  <c r="J440" i="2" s="1"/>
  <c r="H441" i="2"/>
  <c r="J441" i="2" s="1"/>
  <c r="H442" i="2"/>
  <c r="J442" i="2" s="1"/>
  <c r="H443" i="2"/>
  <c r="J443" i="2" s="1"/>
  <c r="H444" i="2"/>
  <c r="J444" i="2" s="1"/>
  <c r="H260" i="2"/>
  <c r="J260" i="2" s="1"/>
  <c r="H261" i="2"/>
  <c r="J261" i="2" s="1"/>
  <c r="H262" i="2"/>
  <c r="J262" i="2" s="1"/>
  <c r="H263" i="2"/>
  <c r="J263" i="2" s="1"/>
  <c r="H264" i="2"/>
  <c r="J264" i="2" s="1"/>
  <c r="H265" i="2"/>
  <c r="J265" i="2" s="1"/>
  <c r="H266" i="2"/>
  <c r="J266" i="2" s="1"/>
  <c r="H267" i="2"/>
  <c r="J267" i="2" s="1"/>
  <c r="H268" i="2"/>
  <c r="J268" i="2" s="1"/>
  <c r="H269" i="2"/>
  <c r="J269" i="2" s="1"/>
  <c r="H270" i="2"/>
  <c r="J270" i="2" s="1"/>
  <c r="H271" i="2"/>
  <c r="J271" i="2" s="1"/>
  <c r="H272" i="2"/>
  <c r="J272" i="2" s="1"/>
  <c r="H273" i="2"/>
  <c r="J273" i="2" s="1"/>
  <c r="H531" i="2"/>
  <c r="J531" i="2" s="1"/>
  <c r="H132" i="2"/>
  <c r="J132" i="2" s="1"/>
  <c r="H1441" i="2"/>
  <c r="J1441" i="2" s="1"/>
  <c r="H1440" i="2"/>
  <c r="J1440" i="2" s="1"/>
  <c r="H1439" i="2"/>
  <c r="J1439" i="2" s="1"/>
  <c r="J903" i="2"/>
  <c r="J902" i="2"/>
  <c r="J901" i="2"/>
  <c r="H994" i="2"/>
  <c r="J994" i="2" s="1"/>
  <c r="H995" i="2"/>
  <c r="J995" i="2" s="1"/>
  <c r="H996" i="2"/>
  <c r="J996" i="2" s="1"/>
  <c r="H998" i="2"/>
  <c r="J998" i="2" s="1"/>
  <c r="H1350" i="2"/>
  <c r="J1350" i="2" s="1"/>
  <c r="H1351" i="2"/>
  <c r="J1351" i="2" s="1"/>
  <c r="H791" i="2"/>
  <c r="J791" i="2" s="1"/>
  <c r="K840" i="2" s="1"/>
  <c r="H946" i="2"/>
  <c r="J946" i="2" s="1"/>
  <c r="H947" i="2"/>
  <c r="J947" i="2" s="1"/>
  <c r="H948" i="2"/>
  <c r="J948" i="2" s="1"/>
  <c r="H956" i="2"/>
  <c r="J956" i="2" s="1"/>
  <c r="H957" i="2"/>
  <c r="J957" i="2" s="1"/>
  <c r="H958" i="2"/>
  <c r="J958" i="2" s="1"/>
  <c r="H959" i="2"/>
  <c r="J959" i="2" s="1"/>
  <c r="H960" i="2"/>
  <c r="J960" i="2" s="1"/>
  <c r="H961" i="2"/>
  <c r="J961" i="2" s="1"/>
  <c r="K753" i="2" l="1"/>
  <c r="K1352" i="2"/>
  <c r="D87" i="1" s="1"/>
  <c r="H712" i="2"/>
  <c r="J712" i="2" s="1"/>
  <c r="H700" i="2"/>
  <c r="J700" i="2" s="1"/>
  <c r="H727" i="2"/>
  <c r="J727" i="2" s="1"/>
  <c r="H733" i="2"/>
  <c r="J733" i="2" s="1"/>
  <c r="J523" i="2"/>
  <c r="J524" i="2"/>
  <c r="J525" i="2"/>
  <c r="H417" i="2"/>
  <c r="J417" i="2" s="1"/>
  <c r="H418" i="2"/>
  <c r="J418" i="2" s="1"/>
  <c r="H419" i="2"/>
  <c r="J419" i="2" s="1"/>
  <c r="H420" i="2"/>
  <c r="J420" i="2" s="1"/>
  <c r="H426" i="2"/>
  <c r="H259" i="2"/>
  <c r="J259" i="2" s="1"/>
  <c r="H258" i="2"/>
  <c r="J258" i="2" s="1"/>
  <c r="H257" i="2"/>
  <c r="J257" i="2" s="1"/>
  <c r="H256" i="2"/>
  <c r="J256" i="2" s="1"/>
  <c r="H255" i="2"/>
  <c r="J255" i="2" s="1"/>
  <c r="H254" i="2"/>
  <c r="J254" i="2" s="1"/>
  <c r="H253" i="2"/>
  <c r="J253" i="2" s="1"/>
  <c r="H74" i="2"/>
  <c r="J74" i="2" s="1"/>
  <c r="J705" i="2"/>
  <c r="J703" i="2"/>
  <c r="J704" i="2"/>
  <c r="H238" i="2"/>
  <c r="J238" i="2" s="1"/>
  <c r="H237" i="2"/>
  <c r="J237" i="2" s="1"/>
  <c r="H236" i="2"/>
  <c r="J236" i="2" s="1"/>
  <c r="H235" i="2"/>
  <c r="J235" i="2" s="1"/>
  <c r="H234" i="2"/>
  <c r="J234" i="2" s="1"/>
  <c r="H233" i="2"/>
  <c r="J233" i="2" s="1"/>
  <c r="H232" i="2"/>
  <c r="J232" i="2" s="1"/>
  <c r="H231" i="2"/>
  <c r="J231" i="2" s="1"/>
  <c r="H230" i="2"/>
  <c r="J230" i="2" s="1"/>
  <c r="H1435" i="2"/>
  <c r="J1435" i="2" s="1"/>
  <c r="H1436" i="2"/>
  <c r="J1436" i="2" s="1"/>
  <c r="J1243" i="2"/>
  <c r="J1242" i="2"/>
  <c r="J899" i="2"/>
  <c r="J898" i="2"/>
  <c r="J897" i="2"/>
  <c r="J896" i="2"/>
  <c r="J895" i="2"/>
  <c r="H212" i="2"/>
  <c r="J212" i="2" s="1"/>
  <c r="H134" i="2"/>
  <c r="J134" i="2" s="1"/>
  <c r="K135" i="2" s="1"/>
  <c r="H1081" i="2"/>
  <c r="J1081" i="2" s="1"/>
  <c r="H1068" i="2"/>
  <c r="J1068" i="2" s="1"/>
  <c r="H1057" i="2"/>
  <c r="J1057" i="2" s="1"/>
  <c r="K1058" i="2" s="1"/>
  <c r="J1080" i="2"/>
  <c r="H1079" i="2"/>
  <c r="J1079" i="2" s="1"/>
  <c r="H1202" i="2"/>
  <c r="J1202" i="2" s="1"/>
  <c r="H1078" i="2"/>
  <c r="J1078" i="2" s="1"/>
  <c r="H1077" i="2"/>
  <c r="J1077" i="2" s="1"/>
  <c r="H1076" i="2"/>
  <c r="J1076" i="2" s="1"/>
  <c r="J1127" i="2"/>
  <c r="H1075" i="2"/>
  <c r="J1075" i="2" s="1"/>
  <c r="H1094" i="2"/>
  <c r="J1094" i="2" s="1"/>
  <c r="H1067" i="2"/>
  <c r="J1067" i="2" s="1"/>
  <c r="H1066" i="2"/>
  <c r="J1066" i="2" s="1"/>
  <c r="H198" i="2"/>
  <c r="J198" i="2" s="1"/>
  <c r="K199" i="2" s="1"/>
  <c r="D33" i="1" s="1"/>
  <c r="J894" i="2"/>
  <c r="J325" i="2"/>
  <c r="J324" i="2"/>
  <c r="J323" i="2"/>
  <c r="J893" i="2"/>
  <c r="J892" i="2"/>
  <c r="J891" i="2"/>
  <c r="J210" i="2"/>
  <c r="H210" i="2"/>
  <c r="J209" i="2"/>
  <c r="H209" i="2"/>
  <c r="J590" i="2"/>
  <c r="H1093" i="2"/>
  <c r="J1093" i="2" s="1"/>
  <c r="J1209" i="2"/>
  <c r="H1209" i="2"/>
  <c r="J1208" i="2"/>
  <c r="H1208" i="2"/>
  <c r="J1207" i="2"/>
  <c r="H1207" i="2"/>
  <c r="J1239" i="2"/>
  <c r="H1239" i="2"/>
  <c r="J1206" i="2"/>
  <c r="H1206" i="2"/>
  <c r="J1090" i="2"/>
  <c r="H1090" i="2"/>
  <c r="J211" i="2"/>
  <c r="H211" i="2"/>
  <c r="J229" i="2"/>
  <c r="H229" i="2"/>
  <c r="J228" i="2"/>
  <c r="H228" i="2"/>
  <c r="J227" i="2"/>
  <c r="H227" i="2"/>
  <c r="J226" i="2"/>
  <c r="H226" i="2"/>
  <c r="J225" i="2"/>
  <c r="H225" i="2"/>
  <c r="J224" i="2"/>
  <c r="H224" i="2"/>
  <c r="J223" i="2"/>
  <c r="H223" i="2"/>
  <c r="J222" i="2"/>
  <c r="H222" i="2"/>
  <c r="J927" i="2"/>
  <c r="H927" i="2"/>
  <c r="J584" i="2"/>
  <c r="H584" i="2"/>
  <c r="J926" i="2"/>
  <c r="H926" i="2"/>
  <c r="J583" i="2"/>
  <c r="J582" i="2"/>
  <c r="J502" i="2"/>
  <c r="J501" i="2"/>
  <c r="H367" i="2"/>
  <c r="J367" i="2" s="1"/>
  <c r="J221" i="2"/>
  <c r="H221" i="2"/>
  <c r="J220" i="2"/>
  <c r="H220" i="2"/>
  <c r="J219" i="2"/>
  <c r="H219" i="2"/>
  <c r="J218" i="2"/>
  <c r="H218" i="2"/>
  <c r="J217" i="2"/>
  <c r="H217" i="2"/>
  <c r="J216" i="2"/>
  <c r="H216" i="2"/>
  <c r="K734" i="2" l="1"/>
  <c r="H549" i="2"/>
  <c r="H550" i="2"/>
  <c r="J550" i="2" s="1"/>
  <c r="H457" i="2"/>
  <c r="J457" i="2" s="1"/>
  <c r="K486" i="2" s="1"/>
  <c r="H449" i="2"/>
  <c r="H429" i="2"/>
  <c r="H430" i="2"/>
  <c r="H431" i="2"/>
  <c r="H432" i="2"/>
  <c r="H433" i="2"/>
  <c r="H434" i="2"/>
  <c r="H435" i="2"/>
  <c r="H436" i="2"/>
  <c r="H375" i="2"/>
  <c r="H376" i="2"/>
  <c r="H372" i="2"/>
  <c r="H326" i="2"/>
  <c r="H213" i="2"/>
  <c r="H196" i="2"/>
  <c r="H184" i="2"/>
  <c r="H185" i="2"/>
  <c r="H137" i="2"/>
  <c r="H138" i="2"/>
  <c r="H139" i="2"/>
  <c r="H140" i="2"/>
  <c r="H141" i="2"/>
  <c r="H142" i="2"/>
  <c r="H143" i="2"/>
  <c r="H144" i="2"/>
  <c r="H145" i="2"/>
  <c r="H126" i="2"/>
  <c r="H122" i="2"/>
  <c r="H117" i="2"/>
  <c r="H106" i="2"/>
  <c r="H107" i="2"/>
  <c r="H96" i="2"/>
  <c r="H97" i="2"/>
  <c r="H98" i="2"/>
  <c r="H79" i="2"/>
  <c r="H34" i="2"/>
  <c r="H35" i="2"/>
  <c r="H32" i="2"/>
  <c r="H1444" i="2" l="1"/>
  <c r="H10" i="2"/>
  <c r="H12" i="2"/>
  <c r="H14" i="2"/>
  <c r="H15" i="2"/>
  <c r="H16" i="2"/>
  <c r="H17" i="2"/>
  <c r="H21" i="2"/>
  <c r="H22" i="2"/>
  <c r="H24" i="2"/>
  <c r="H37" i="2"/>
  <c r="H41" i="2"/>
  <c r="H43" i="2"/>
  <c r="H45" i="2"/>
  <c r="H46" i="2"/>
  <c r="H68" i="2"/>
  <c r="H70" i="2"/>
  <c r="H72" i="2"/>
  <c r="H105" i="2"/>
  <c r="H116" i="2"/>
  <c r="H121" i="2"/>
  <c r="H125" i="2"/>
  <c r="H128" i="2"/>
  <c r="H136" i="2"/>
  <c r="H183" i="2"/>
  <c r="H187" i="2"/>
  <c r="H200" i="2"/>
  <c r="H208" i="2"/>
  <c r="H215" i="2"/>
  <c r="H328" i="2"/>
  <c r="H330" i="2"/>
  <c r="H357" i="2"/>
  <c r="H374" i="2"/>
  <c r="H428" i="2"/>
  <c r="H455" i="2"/>
  <c r="H500" i="2"/>
  <c r="H529" i="2"/>
  <c r="H530" i="2"/>
  <c r="H533" i="2"/>
  <c r="H535" i="2"/>
  <c r="H536" i="2"/>
  <c r="H537" i="2"/>
  <c r="H593" i="2"/>
  <c r="H544" i="2"/>
  <c r="H363" i="2"/>
  <c r="H548" i="2"/>
  <c r="H735" i="2"/>
  <c r="H736" i="2"/>
  <c r="H738" i="2"/>
  <c r="H740" i="2"/>
  <c r="H754" i="2"/>
  <c r="H841" i="2"/>
  <c r="H849" i="2"/>
  <c r="H877" i="2"/>
  <c r="H879" i="2"/>
  <c r="H921" i="2"/>
  <c r="H936" i="2"/>
  <c r="H985" i="2"/>
  <c r="H986" i="2"/>
  <c r="H987" i="2"/>
  <c r="H988" i="2"/>
  <c r="H989" i="2"/>
  <c r="H991" i="2"/>
  <c r="H992" i="2"/>
  <c r="H1016" i="2"/>
  <c r="H1017" i="2"/>
  <c r="H1019" i="2"/>
  <c r="H1020" i="2"/>
  <c r="H1021" i="2"/>
  <c r="H1022" i="2"/>
  <c r="H1023" i="2"/>
  <c r="H1024" i="2"/>
  <c r="H1025" i="2"/>
  <c r="H1027" i="2"/>
  <c r="H1029" i="2"/>
  <c r="H1031" i="2"/>
  <c r="H1033" i="2"/>
  <c r="H1034" i="2"/>
  <c r="H1035" i="2"/>
  <c r="H1036" i="2"/>
  <c r="H1038" i="2"/>
  <c r="H1040" i="2"/>
  <c r="H1041" i="2"/>
  <c r="H1042" i="2"/>
  <c r="H1043" i="2"/>
  <c r="H1044" i="2"/>
  <c r="H1046" i="2"/>
  <c r="H1047" i="2"/>
  <c r="H1049" i="2"/>
  <c r="H1050" i="2"/>
  <c r="H1051" i="2"/>
  <c r="H1053" i="2"/>
  <c r="H1054" i="2"/>
  <c r="H1055" i="2"/>
  <c r="H1059" i="2"/>
  <c r="H1065" i="2"/>
  <c r="H1092" i="2"/>
  <c r="H1526" i="2"/>
  <c r="H1129" i="2"/>
  <c r="H1393" i="2"/>
  <c r="H1130" i="2"/>
  <c r="H1131" i="2"/>
  <c r="H1133" i="2"/>
  <c r="H1201" i="2"/>
  <c r="H1205" i="2"/>
  <c r="H1210" i="2"/>
  <c r="H1212" i="2"/>
  <c r="H1221" i="2"/>
  <c r="H1232" i="2"/>
  <c r="H1247" i="2"/>
  <c r="H1249" i="2"/>
  <c r="H1257" i="2"/>
  <c r="H1269" i="2"/>
  <c r="H1271" i="2"/>
  <c r="H1291" i="2"/>
  <c r="H1293" i="2"/>
  <c r="H1295" i="2"/>
  <c r="H1297" i="2"/>
  <c r="H1298" i="2"/>
  <c r="H1300" i="2"/>
  <c r="H1306" i="2"/>
  <c r="H1308" i="2"/>
  <c r="H1310" i="2"/>
  <c r="H1335" i="2"/>
  <c r="H1337" i="2"/>
  <c r="H1339" i="2"/>
  <c r="H1353" i="2"/>
  <c r="H1361" i="2"/>
  <c r="H1362" i="2"/>
  <c r="H1364" i="2"/>
  <c r="H1366" i="2"/>
  <c r="H1376" i="2"/>
  <c r="H1377" i="2"/>
  <c r="H1378" i="2"/>
  <c r="H1379" i="2"/>
  <c r="H1402" i="2"/>
  <c r="H1414" i="2"/>
  <c r="H1420" i="2"/>
  <c r="H1422" i="2"/>
  <c r="H1423" i="2"/>
  <c r="H1425" i="2"/>
  <c r="H1426" i="2"/>
  <c r="H1427" i="2"/>
  <c r="H1430" i="2"/>
  <c r="H1442" i="2"/>
  <c r="H1446" i="2"/>
  <c r="H1447" i="2"/>
  <c r="H1448" i="2"/>
  <c r="H1449" i="2"/>
  <c r="H1450" i="2"/>
  <c r="H1451" i="2"/>
  <c r="H1452" i="2"/>
  <c r="H1453" i="2"/>
  <c r="H1454" i="2"/>
  <c r="H1455" i="2"/>
  <c r="H1456" i="2"/>
  <c r="H1457" i="2"/>
  <c r="H1458" i="2"/>
  <c r="H1459" i="2"/>
  <c r="H1460" i="2"/>
  <c r="H1461" i="2"/>
  <c r="H1462" i="2"/>
  <c r="H1463" i="2"/>
  <c r="H1464" i="2"/>
  <c r="H1465" i="2"/>
  <c r="H1466" i="2"/>
  <c r="H1467" i="2"/>
  <c r="H1468" i="2"/>
  <c r="H1469" i="2"/>
  <c r="H1470" i="2"/>
  <c r="H1471" i="2"/>
  <c r="H1472" i="2"/>
  <c r="H1473" i="2"/>
  <c r="H1474" i="2"/>
  <c r="H1475" i="2"/>
  <c r="H1476" i="2"/>
  <c r="H1477" i="2"/>
  <c r="H1478" i="2"/>
  <c r="H1479" i="2"/>
  <c r="H1480" i="2"/>
  <c r="H1481" i="2"/>
  <c r="H1482" i="2"/>
  <c r="H1483" i="2"/>
  <c r="H1484" i="2"/>
  <c r="H1485" i="2"/>
  <c r="H1486" i="2"/>
  <c r="H1487" i="2"/>
  <c r="H1488" i="2"/>
  <c r="H1489" i="2"/>
  <c r="H1490" i="2"/>
  <c r="H1491" i="2"/>
  <c r="H1507" i="2"/>
  <c r="H1508" i="2"/>
  <c r="H1513" i="2"/>
  <c r="H1515" i="2"/>
  <c r="H1518" i="2"/>
  <c r="H1527" i="2"/>
  <c r="H1529" i="2"/>
  <c r="H1530" i="2"/>
  <c r="H1531" i="2"/>
  <c r="H1532" i="2"/>
  <c r="H1533" i="2"/>
  <c r="H1534" i="2"/>
  <c r="H1536" i="2"/>
  <c r="H1537" i="2"/>
  <c r="H1539" i="2"/>
  <c r="H1540" i="2"/>
  <c r="H1542" i="2"/>
  <c r="H1544" i="2"/>
  <c r="H1586" i="2"/>
  <c r="H1587" i="2"/>
  <c r="H1589" i="2"/>
  <c r="H1597" i="2"/>
  <c r="H1598" i="2"/>
  <c r="H1599" i="2"/>
  <c r="H9" i="2"/>
  <c r="J593" i="2" l="1"/>
  <c r="K594" i="2" s="1"/>
  <c r="J1587" i="2" l="1"/>
  <c r="J1586" i="2"/>
  <c r="J9" i="2"/>
  <c r="K1588" i="2" l="1"/>
  <c r="D109" i="1" s="1"/>
  <c r="J1539" i="2"/>
  <c r="J45" i="2" l="1"/>
  <c r="J46" i="2"/>
  <c r="K47" i="2" l="1"/>
  <c r="J1456" i="2" l="1"/>
  <c r="J1462" i="2"/>
  <c r="J1464" i="2"/>
  <c r="J1470" i="2"/>
  <c r="J1476" i="2"/>
  <c r="J1482" i="2"/>
  <c r="J1484" i="2"/>
  <c r="J1485" i="2"/>
  <c r="J1486" i="2"/>
  <c r="J1487" i="2"/>
  <c r="J1488" i="2"/>
  <c r="J1489" i="2"/>
  <c r="J1490" i="2"/>
  <c r="J1491" i="2"/>
  <c r="J1475" i="2" l="1"/>
  <c r="J1478" i="2"/>
  <c r="J1474" i="2" l="1"/>
  <c r="J1473" i="2"/>
  <c r="J1471" i="2"/>
  <c r="J1459" i="2" l="1"/>
  <c r="J1454" i="2" l="1"/>
  <c r="J1221" i="2"/>
  <c r="J745" i="2"/>
  <c r="K95" i="2" l="1"/>
  <c r="J1457" i="2"/>
  <c r="J1249" i="2"/>
  <c r="J1458" i="2"/>
  <c r="J1469" i="2"/>
  <c r="J1453" i="2"/>
  <c r="J1446" i="2"/>
  <c r="J1467" i="2"/>
  <c r="J1465" i="2"/>
  <c r="J1468" i="2" l="1"/>
  <c r="J1483" i="2" l="1"/>
  <c r="J1455" i="2"/>
  <c r="J1461" i="2"/>
  <c r="J1050" i="2"/>
  <c r="J1049" i="2"/>
  <c r="J1034" i="2" l="1"/>
  <c r="J1035" i="2"/>
  <c r="J1036" i="2"/>
  <c r="J372" i="2" l="1"/>
  <c r="K373" i="2" s="1"/>
  <c r="D42" i="1" l="1"/>
  <c r="J1042" i="2" l="1"/>
  <c r="J1043" i="2"/>
  <c r="J1044" i="2"/>
  <c r="J1377" i="2"/>
  <c r="J1376" i="2"/>
  <c r="J1544" i="2" l="1"/>
  <c r="J22" i="2"/>
  <c r="J10" i="2"/>
  <c r="J34" i="2"/>
  <c r="J35" i="2"/>
  <c r="J43" i="2"/>
  <c r="K44" i="2" s="1"/>
  <c r="J98" i="2"/>
  <c r="J105" i="2"/>
  <c r="J116" i="2"/>
  <c r="J117" i="2"/>
  <c r="J121" i="2"/>
  <c r="J126" i="2"/>
  <c r="J128" i="2"/>
  <c r="K133" i="2" s="1"/>
  <c r="J141" i="2"/>
  <c r="J200" i="2"/>
  <c r="J426" i="2"/>
  <c r="J535" i="2"/>
  <c r="J536" i="2"/>
  <c r="J537" i="2"/>
  <c r="J735" i="2"/>
  <c r="J738" i="2"/>
  <c r="K739" i="2" s="1"/>
  <c r="J841" i="2"/>
  <c r="J849" i="2"/>
  <c r="J877" i="2"/>
  <c r="J879" i="2"/>
  <c r="J936" i="2"/>
  <c r="J989" i="2"/>
  <c r="J992" i="2"/>
  <c r="K1015" i="2"/>
  <c r="J1022" i="2"/>
  <c r="J1023" i="2"/>
  <c r="J1025" i="2"/>
  <c r="J1027" i="2"/>
  <c r="J1031" i="2"/>
  <c r="K1032" i="2" s="1"/>
  <c r="J1033" i="2"/>
  <c r="K1037" i="2" s="1"/>
  <c r="J1038" i="2"/>
  <c r="J1046" i="2"/>
  <c r="J1047" i="2"/>
  <c r="J1051" i="2"/>
  <c r="K1052" i="2" s="1"/>
  <c r="J1053" i="2"/>
  <c r="J1055" i="2"/>
  <c r="D69" i="1" s="1"/>
  <c r="J1059" i="2"/>
  <c r="K1200" i="2"/>
  <c r="J1205" i="2"/>
  <c r="J1210" i="2"/>
  <c r="J1212" i="2"/>
  <c r="J1232" i="2"/>
  <c r="J1247" i="2"/>
  <c r="J1257" i="2"/>
  <c r="K1258" i="2" s="1"/>
  <c r="J1269" i="2"/>
  <c r="K1270" i="2" s="1"/>
  <c r="J1271" i="2"/>
  <c r="J1293" i="2"/>
  <c r="J1295" i="2"/>
  <c r="K1296" i="2" s="1"/>
  <c r="J1300" i="2"/>
  <c r="K1301" i="2" s="1"/>
  <c r="J1306" i="2"/>
  <c r="K1307" i="2" s="1"/>
  <c r="J1308" i="2"/>
  <c r="J1310" i="2"/>
  <c r="J1335" i="2"/>
  <c r="J1337" i="2"/>
  <c r="K1338" i="2" s="1"/>
  <c r="J1339" i="2"/>
  <c r="K1340" i="2" s="1"/>
  <c r="J1353" i="2"/>
  <c r="J1362" i="2"/>
  <c r="K1388" i="2"/>
  <c r="J1402" i="2"/>
  <c r="K1413" i="2" s="1"/>
  <c r="J1414" i="2"/>
  <c r="K1415" i="2" s="1"/>
  <c r="J1420" i="2"/>
  <c r="K1421" i="2" s="1"/>
  <c r="J1422" i="2"/>
  <c r="J1423" i="2"/>
  <c r="J1425" i="2"/>
  <c r="J1426" i="2"/>
  <c r="J1427" i="2"/>
  <c r="J1430" i="2"/>
  <c r="J1507" i="2"/>
  <c r="J1515" i="2"/>
  <c r="J1518" i="2"/>
  <c r="J1527" i="2"/>
  <c r="J1529" i="2"/>
  <c r="J1531" i="2"/>
  <c r="J1532" i="2"/>
  <c r="J1534" i="2"/>
  <c r="J1537" i="2"/>
  <c r="J1540" i="2"/>
  <c r="K1541" i="2" s="1"/>
  <c r="J1542" i="2"/>
  <c r="J1596" i="2"/>
  <c r="J1597" i="2"/>
  <c r="J1598" i="2"/>
  <c r="J1599" i="2"/>
  <c r="J1029" i="2"/>
  <c r="K1030" i="2" s="1"/>
  <c r="I1442" i="2"/>
  <c r="I1444" i="2"/>
  <c r="J1513" i="2"/>
  <c r="K1514" i="2" s="1"/>
  <c r="J1621" i="2"/>
  <c r="J1508" i="2"/>
  <c r="K36" i="2" l="1"/>
  <c r="D13" i="1" s="1"/>
  <c r="K1517" i="2"/>
  <c r="D104" i="1" s="1"/>
  <c r="K1429" i="2"/>
  <c r="K1213" i="2"/>
  <c r="D77" i="1" s="1"/>
  <c r="K11" i="2"/>
  <c r="D9" i="1" s="1"/>
  <c r="K876" i="2"/>
  <c r="D86" i="1"/>
  <c r="K538" i="2"/>
  <c r="K1309" i="2"/>
  <c r="K1424" i="2"/>
  <c r="K1048" i="2"/>
  <c r="K1039" i="2"/>
  <c r="K1585" i="2"/>
  <c r="D108" i="1" s="1"/>
  <c r="K1509" i="2"/>
  <c r="D102" i="1" s="1"/>
  <c r="K878" i="2"/>
  <c r="D95" i="1"/>
  <c r="K1543" i="2"/>
  <c r="J215" i="2"/>
  <c r="J1092" i="2"/>
  <c r="K1095" i="2" s="1"/>
  <c r="J32" i="2"/>
  <c r="J16" i="2"/>
  <c r="J1536" i="2"/>
  <c r="J1452" i="2"/>
  <c r="J1481" i="2"/>
  <c r="J378" i="2"/>
  <c r="J1472" i="2"/>
  <c r="J122" i="2"/>
  <c r="K124" i="2" s="1"/>
  <c r="J375" i="2"/>
  <c r="J144" i="2"/>
  <c r="J1361" i="2"/>
  <c r="K1363" i="2" s="1"/>
  <c r="J374" i="2"/>
  <c r="J143" i="2"/>
  <c r="J24" i="2"/>
  <c r="K25" i="2" s="1"/>
  <c r="J280" i="2"/>
  <c r="J991" i="2"/>
  <c r="K993" i="2" s="1"/>
  <c r="J140" i="2"/>
  <c r="J125" i="2"/>
  <c r="J359" i="2"/>
  <c r="D41" i="1" s="1"/>
  <c r="J14" i="2"/>
  <c r="J1448" i="2"/>
  <c r="J736" i="2"/>
  <c r="K737" i="2" s="1"/>
  <c r="J416" i="2"/>
  <c r="K427" i="2" s="1"/>
  <c r="J1589" i="2"/>
  <c r="K1600" i="2" s="1"/>
  <c r="K604" i="2"/>
  <c r="J530" i="2"/>
  <c r="J435" i="2"/>
  <c r="J96" i="2"/>
  <c r="J213" i="2"/>
  <c r="J138" i="2"/>
  <c r="J12" i="2"/>
  <c r="K13" i="2" s="1"/>
  <c r="J754" i="2"/>
  <c r="K790" i="2" s="1"/>
  <c r="J529" i="2"/>
  <c r="J434" i="2"/>
  <c r="J208" i="2"/>
  <c r="J137" i="2"/>
  <c r="J1364" i="2"/>
  <c r="J921" i="2"/>
  <c r="J1298" i="2"/>
  <c r="J436" i="2"/>
  <c r="J986" i="2"/>
  <c r="J433" i="2"/>
  <c r="K207" i="2"/>
  <c r="J136" i="2"/>
  <c r="J1201" i="2"/>
  <c r="K1204" i="2" s="1"/>
  <c r="J145" i="2"/>
  <c r="K89" i="2"/>
  <c r="J37" i="2"/>
  <c r="J432" i="2"/>
  <c r="J15" i="2"/>
  <c r="J1020" i="2"/>
  <c r="J1019" i="2"/>
  <c r="J455" i="2"/>
  <c r="K456" i="2" s="1"/>
  <c r="J431" i="2"/>
  <c r="J31" i="2"/>
  <c r="J414" i="2"/>
  <c r="K415" i="2" s="1"/>
  <c r="J1480" i="2"/>
  <c r="K984" i="2"/>
  <c r="J1533" i="2"/>
  <c r="J1466" i="2"/>
  <c r="J1530" i="2"/>
  <c r="J1133" i="2"/>
  <c r="K1134" i="2" s="1"/>
  <c r="J21" i="2"/>
  <c r="K23" i="2" s="1"/>
  <c r="J1021" i="2"/>
  <c r="J139" i="2"/>
  <c r="J72" i="2"/>
  <c r="K73" i="2" s="1"/>
  <c r="J1463" i="2"/>
  <c r="J1016" i="2"/>
  <c r="J1526" i="2"/>
  <c r="K1528" i="2" s="1"/>
  <c r="J430" i="2"/>
  <c r="J1024" i="2"/>
  <c r="J1054" i="2"/>
  <c r="J549" i="2"/>
  <c r="J376" i="2"/>
  <c r="J1447" i="2"/>
  <c r="J142" i="2"/>
  <c r="J1130" i="2"/>
  <c r="J548" i="2"/>
  <c r="J429" i="2"/>
  <c r="J70" i="2"/>
  <c r="K71" i="2" s="1"/>
  <c r="J1040" i="2"/>
  <c r="J1479" i="2"/>
  <c r="J1131" i="2"/>
  <c r="D68" i="1"/>
  <c r="J988" i="2"/>
  <c r="J1450" i="2"/>
  <c r="J1017" i="2"/>
  <c r="J1129" i="2"/>
  <c r="J1065" i="2"/>
  <c r="K1082" i="2" s="1"/>
  <c r="J363" i="2"/>
  <c r="J500" i="2"/>
  <c r="J449" i="2"/>
  <c r="J428" i="2"/>
  <c r="J107" i="2"/>
  <c r="J68" i="2"/>
  <c r="J1041" i="2"/>
  <c r="J185" i="2"/>
  <c r="J184" i="2"/>
  <c r="J379" i="2"/>
  <c r="J533" i="2"/>
  <c r="J740" i="2"/>
  <c r="K746" i="2" s="1"/>
  <c r="J1291" i="2"/>
  <c r="K1294" i="2" s="1"/>
  <c r="J330" i="2"/>
  <c r="K355" i="2" s="1"/>
  <c r="J196" i="2"/>
  <c r="J1378" i="2"/>
  <c r="J1477" i="2"/>
  <c r="J187" i="2"/>
  <c r="J183" i="2"/>
  <c r="J79" i="2"/>
  <c r="E35" i="3"/>
  <c r="J900" i="2"/>
  <c r="J1297" i="2"/>
  <c r="J985" i="2"/>
  <c r="J106" i="2"/>
  <c r="J328" i="2"/>
  <c r="J1451" i="2"/>
  <c r="J41" i="2"/>
  <c r="J17" i="2"/>
  <c r="J357" i="2"/>
  <c r="K360" i="2" s="1"/>
  <c r="J97" i="2"/>
  <c r="J1393" i="2"/>
  <c r="K1395" i="2" s="1"/>
  <c r="J987" i="2"/>
  <c r="J1449" i="2"/>
  <c r="J1460" i="2"/>
  <c r="J1366" i="2"/>
  <c r="J544" i="2"/>
  <c r="J326" i="2"/>
  <c r="J1379" i="2"/>
  <c r="D79" i="1"/>
  <c r="J1442" i="2"/>
  <c r="J1444" i="2"/>
  <c r="K1445" i="2" s="1"/>
  <c r="K592" i="2" l="1"/>
  <c r="K364" i="2"/>
  <c r="K327" i="2"/>
  <c r="D36" i="1" s="1"/>
  <c r="K104" i="2"/>
  <c r="D22" i="1" s="1"/>
  <c r="K1506" i="2"/>
  <c r="D101" i="1" s="1"/>
  <c r="K179" i="2"/>
  <c r="D29" i="1" s="1"/>
  <c r="K1443" i="2"/>
  <c r="D100" i="1" s="1"/>
  <c r="K534" i="2"/>
  <c r="P535" i="2" s="1"/>
  <c r="P536" i="2" s="1"/>
  <c r="K413" i="2"/>
  <c r="D43" i="1" s="1"/>
  <c r="K1132" i="2"/>
  <c r="D73" i="1" s="1"/>
  <c r="K42" i="2"/>
  <c r="D59" i="1"/>
  <c r="K214" i="2"/>
  <c r="D34" i="1" s="1"/>
  <c r="K92" i="2"/>
  <c r="D20" i="1" s="1"/>
  <c r="K1375" i="2"/>
  <c r="D90" i="1" s="1"/>
  <c r="D35" i="3"/>
  <c r="E36" i="3" s="1"/>
  <c r="K1248" i="2"/>
  <c r="D78" i="1" s="1"/>
  <c r="K197" i="2"/>
  <c r="D32" i="1" s="1"/>
  <c r="K377" i="2"/>
  <c r="K547" i="2"/>
  <c r="D50" i="1" s="1"/>
  <c r="J1601" i="2"/>
  <c r="K450" i="2"/>
  <c r="K990" i="2"/>
  <c r="D65" i="1" s="1"/>
  <c r="K113" i="2"/>
  <c r="D23" i="1" s="1"/>
  <c r="K186" i="2"/>
  <c r="D31" i="1" s="1"/>
  <c r="K33" i="2"/>
  <c r="D58" i="1"/>
  <c r="K929" i="2"/>
  <c r="K1091" i="2"/>
  <c r="D71" i="1" s="1"/>
  <c r="D21" i="1"/>
  <c r="D72" i="1"/>
  <c r="K454" i="2"/>
  <c r="D46" i="1" s="1"/>
  <c r="K437" i="2"/>
  <c r="D94" i="1"/>
  <c r="D53" i="1"/>
  <c r="D98" i="1"/>
  <c r="D60" i="1"/>
  <c r="D88" i="1"/>
  <c r="D91" i="1"/>
  <c r="K1535" i="2"/>
  <c r="D106" i="1" s="1"/>
  <c r="K1299" i="2"/>
  <c r="D83" i="1" s="1"/>
  <c r="D27" i="1"/>
  <c r="K1401" i="2"/>
  <c r="D93" i="1" s="1"/>
  <c r="D66" i="1"/>
  <c r="D48" i="1"/>
  <c r="D47" i="1"/>
  <c r="K1336" i="2"/>
  <c r="D85" i="1" s="1"/>
  <c r="D82" i="1"/>
  <c r="K1018" i="2"/>
  <c r="K1262" i="2"/>
  <c r="D80" i="1" s="1"/>
  <c r="K1538" i="2"/>
  <c r="D107" i="1" s="1"/>
  <c r="K1056" i="2"/>
  <c r="K80" i="2"/>
  <c r="D110" i="1"/>
  <c r="D44" i="1"/>
  <c r="D37" i="1"/>
  <c r="K1365" i="2"/>
  <c r="D89" i="1" s="1"/>
  <c r="D84" i="1"/>
  <c r="D92" i="1"/>
  <c r="D81" i="1"/>
  <c r="K1434" i="2"/>
  <c r="D99" i="1" s="1"/>
  <c r="K1380" i="2"/>
  <c r="K1045" i="2"/>
  <c r="K1028" i="2"/>
  <c r="D67" i="1" s="1"/>
  <c r="D28" i="1"/>
  <c r="D105" i="1"/>
  <c r="D18" i="1"/>
  <c r="K127" i="2"/>
  <c r="D26" i="1" s="1"/>
  <c r="D25" i="1"/>
  <c r="D55" i="1"/>
  <c r="K329" i="2"/>
  <c r="D76" i="1"/>
  <c r="D74" i="1"/>
  <c r="D10" i="1"/>
  <c r="K69" i="2"/>
  <c r="D14" i="1" l="1"/>
  <c r="D33" i="3"/>
  <c r="D19" i="1"/>
  <c r="D35" i="1"/>
  <c r="J1613" i="2"/>
  <c r="D17" i="1" l="1"/>
  <c r="D15" i="1" l="1"/>
  <c r="D61" i="1"/>
  <c r="D54" i="1"/>
  <c r="D64" i="1"/>
  <c r="D49" i="1"/>
  <c r="K18" i="2"/>
  <c r="K1625" i="2" s="1"/>
  <c r="K1639" i="2" s="1"/>
  <c r="D45" i="1"/>
  <c r="D75" i="1"/>
  <c r="D70" i="1"/>
  <c r="J1614" i="2"/>
  <c r="J1618" i="2" s="1"/>
  <c r="O1604" i="2"/>
  <c r="O1606" i="2" s="1"/>
  <c r="D38" i="1"/>
  <c r="K1637" i="2" l="1"/>
  <c r="J1615" i="2"/>
  <c r="D12" i="1"/>
  <c r="D111" i="1" s="1"/>
  <c r="D51" i="1"/>
  <c r="O1603" i="2" l="1"/>
  <c r="D113" i="1" l="1"/>
  <c r="E113" i="1"/>
  <c r="D119" i="1"/>
</calcChain>
</file>

<file path=xl/comments1.xml><?xml version="1.0" encoding="utf-8"?>
<comments xmlns="http://schemas.openxmlformats.org/spreadsheetml/2006/main">
  <authors>
    <author>Elsa Rosaura Santana Vizcaino</author>
    <author/>
    <author>Ramses Peguero Leo</author>
  </authors>
  <commentList>
    <comment ref="B853" authorId="0" shapeId="0">
      <text>
        <r>
          <rPr>
            <b/>
            <sz val="9"/>
            <color indexed="81"/>
            <rFont val="Tahoma"/>
            <family val="2"/>
          </rPr>
          <t>Elsa Rosaura Santana Vizcaino:</t>
        </r>
        <r>
          <rPr>
            <sz val="9"/>
            <color indexed="81"/>
            <rFont val="Tahoma"/>
            <family val="2"/>
          </rPr>
          <t xml:space="preserve">
Esto es un reactivo</t>
        </r>
      </text>
    </comment>
    <comment ref="I855" authorId="1" shapeId="0">
      <text>
        <r>
          <rPr>
            <sz val="11"/>
            <color theme="1"/>
            <rFont val="Calibri"/>
            <family val="2"/>
            <scheme val="minor"/>
          </rPr>
          <t>======
ID#AAABpIxbhqQ
Pedro Alberto De Jesús Díaz    (2025-09-26 13:41:56)
verificar precio
1,650,000.00</t>
        </r>
      </text>
    </comment>
    <comment ref="F912" authorId="2" shapeId="0">
      <text>
        <r>
          <rPr>
            <b/>
            <sz val="9"/>
            <color indexed="81"/>
            <rFont val="Tahoma"/>
            <family val="2"/>
          </rPr>
          <t>Ramses Peguero Leo:</t>
        </r>
        <r>
          <rPr>
            <sz val="9"/>
            <color indexed="81"/>
            <rFont val="Tahoma"/>
            <family val="2"/>
          </rPr>
          <t xml:space="preserve">
AGUAS POTABLES
</t>
        </r>
      </text>
    </comment>
    <comment ref="F913" authorId="2" shapeId="0">
      <text>
        <r>
          <rPr>
            <b/>
            <sz val="9"/>
            <color indexed="81"/>
            <rFont val="Tahoma"/>
            <family val="2"/>
          </rPr>
          <t>Ramses Peguero Leo:</t>
        </r>
        <r>
          <rPr>
            <sz val="9"/>
            <color indexed="81"/>
            <rFont val="Tahoma"/>
            <family val="2"/>
          </rPr>
          <t xml:space="preserve">
AGUAS POTABLES
</t>
        </r>
      </text>
    </comment>
    <comment ref="A926" authorId="0" shapeId="0">
      <text>
        <r>
          <rPr>
            <b/>
            <sz val="9"/>
            <color indexed="81"/>
            <rFont val="Tahoma"/>
            <family val="2"/>
          </rPr>
          <t>Elsa Rosaura Santana Vizcaino:</t>
        </r>
        <r>
          <rPr>
            <sz val="9"/>
            <color indexed="81"/>
            <rFont val="Tahoma"/>
            <family val="2"/>
          </rPr>
          <t xml:space="preserve">
4111
</t>
        </r>
      </text>
    </comment>
    <comment ref="A927" authorId="0" shapeId="0">
      <text>
        <r>
          <rPr>
            <b/>
            <sz val="9"/>
            <color indexed="81"/>
            <rFont val="Tahoma"/>
            <family val="2"/>
          </rPr>
          <t>Elsa Rosaura Santana Vizcaino:</t>
        </r>
        <r>
          <rPr>
            <sz val="9"/>
            <color indexed="81"/>
            <rFont val="Tahoma"/>
            <family val="2"/>
          </rPr>
          <t xml:space="preserve">
4111
</t>
        </r>
      </text>
    </comment>
    <comment ref="B939" authorId="0" shapeId="0">
      <text>
        <r>
          <rPr>
            <b/>
            <sz val="9"/>
            <color indexed="81"/>
            <rFont val="Tahoma"/>
            <family val="2"/>
          </rPr>
          <t>Elsa Rosaura Santana Vizcaino:</t>
        </r>
        <r>
          <rPr>
            <sz val="9"/>
            <color indexed="81"/>
            <rFont val="Tahoma"/>
            <family val="2"/>
          </rPr>
          <t xml:space="preserve">
Esto es un reactivo</t>
        </r>
      </text>
    </comment>
    <comment ref="B1064" authorId="2" shapeId="0">
      <text>
        <r>
          <rPr>
            <b/>
            <sz val="9"/>
            <color indexed="81"/>
            <rFont val="Tahoma"/>
            <family val="2"/>
          </rPr>
          <t>Ramses Peguero Leo:</t>
        </r>
        <r>
          <rPr>
            <sz val="9"/>
            <color indexed="81"/>
            <rFont val="Tahoma"/>
            <family val="2"/>
          </rPr>
          <t xml:space="preserve">
RECLASIFICADO
</t>
        </r>
      </text>
    </comment>
    <comment ref="B1081" authorId="0" shapeId="0">
      <text>
        <r>
          <rPr>
            <b/>
            <sz val="9"/>
            <color indexed="81"/>
            <rFont val="Tahoma"/>
            <family val="2"/>
          </rPr>
          <t>Elsa Rosaura Santana Vizcaino:</t>
        </r>
        <r>
          <rPr>
            <sz val="9"/>
            <color indexed="81"/>
            <rFont val="Tahoma"/>
            <family val="2"/>
          </rPr>
          <t xml:space="preserve">
Este requerimiento no se gestiona por el PACC</t>
        </r>
      </text>
    </comment>
  </commentList>
</comments>
</file>

<file path=xl/sharedStrings.xml><?xml version="1.0" encoding="utf-8"?>
<sst xmlns="http://schemas.openxmlformats.org/spreadsheetml/2006/main" count="5921" uniqueCount="1694">
  <si>
    <t>No.</t>
  </si>
  <si>
    <t xml:space="preserve">CÓDIGO DEL CATÁLOGO DE BIENES Y SERVICIOS (CBS) </t>
  </si>
  <si>
    <t>1214 - Elementos y gases</t>
  </si>
  <si>
    <t>1411 - Productos de papel</t>
  </si>
  <si>
    <t>1512 - Lubricantes, aceites, grasas y anticorrosivos</t>
  </si>
  <si>
    <t>1510 - Combustibles</t>
  </si>
  <si>
    <t>2210 - Maquinaria y equipo pesado de construcción</t>
  </si>
  <si>
    <t>2310 -Maquinaria para trabajar madera, piedra, cerámica y similares</t>
  </si>
  <si>
    <t>2317 -Maquinaria, equipo y suministros para talleres</t>
  </si>
  <si>
    <t>2410 - Maquinaria y equipo para manejo de materiales</t>
  </si>
  <si>
    <t>2411 -Recipientes  y  almacenamiento</t>
  </si>
  <si>
    <t>241415 - Suministros para seguridad y protección</t>
  </si>
  <si>
    <t>2517 - Componentes y sistemas de transporte</t>
  </si>
  <si>
    <t>261016 - Motores</t>
  </si>
  <si>
    <t>2612 -Alambres,  cables  y  arneses</t>
  </si>
  <si>
    <t>2711 - Herramientas de mano</t>
  </si>
  <si>
    <t>3010 - Componentes estructurales y formas básicas</t>
  </si>
  <si>
    <t>3022 - Estructuras permanentes</t>
  </si>
  <si>
    <t>3116 - Ferretería</t>
  </si>
  <si>
    <t>3119 - Materiales de alisado, pulido</t>
  </si>
  <si>
    <t>3120 - Adhesivos y selladores</t>
  </si>
  <si>
    <t>312313 - Tubos y tubería</t>
  </si>
  <si>
    <t>3911 - Iluminación, artefactos y accesorios</t>
  </si>
  <si>
    <t>3912 - Equipos, suministros y componentes eléctricos</t>
  </si>
  <si>
    <t>401000 - Calefacción, ventilación y circulación de aire</t>
  </si>
  <si>
    <t>4014 - Distribución de fluidos y gas</t>
  </si>
  <si>
    <t>4015 - Bombas y compresores industriales</t>
  </si>
  <si>
    <t>4110 - Equipo de laboratorio y científico</t>
  </si>
  <si>
    <t>4111 - Instrumentos de medida, observación y ensayo</t>
  </si>
  <si>
    <t>41116000- Reactivos de analizadores clinicos y diagnosticos</t>
  </si>
  <si>
    <t>411161- Kits de ensayos manuales, controles de calidad, calibradores y normativas</t>
  </si>
  <si>
    <t>4112 - Suministros y accesorios de laboratorio</t>
  </si>
  <si>
    <t>4214 - Suministros, productos de tratamiento y cuidado del enfermo</t>
  </si>
  <si>
    <t>4219 - Productos de centro médico</t>
  </si>
  <si>
    <t>4231 - Productos para cuidado de Heridas</t>
  </si>
  <si>
    <t>4321 - Equipo informático y accesorios</t>
  </si>
  <si>
    <t>4323 - Software</t>
  </si>
  <si>
    <t>4410 - Maquinaria, suministros y accesorios de oficina</t>
  </si>
  <si>
    <t>4412 - Suministros de oficina</t>
  </si>
  <si>
    <t>4617 - Seguridad, vigilancia y detección</t>
  </si>
  <si>
    <t>4618 - Seguridad y protección personal</t>
  </si>
  <si>
    <t>471016 - Consumibles para el tratamiento de agua</t>
  </si>
  <si>
    <t>4713 - Suministros de aseo y limpieza</t>
  </si>
  <si>
    <t>471015 - Equipo para el tratamiento y suministro de agua</t>
  </si>
  <si>
    <t>5020 - Bebidas</t>
  </si>
  <si>
    <t>5110- Medicamentos y productos farmacéuticos</t>
  </si>
  <si>
    <t>5214 - Aparatos electrodomésticos</t>
  </si>
  <si>
    <t>5310 - Ropa</t>
  </si>
  <si>
    <t>5510 - Medios impresos</t>
  </si>
  <si>
    <t>551218 - Documentos de Identificacion</t>
  </si>
  <si>
    <t>5610 - Muebles de alojamiento</t>
  </si>
  <si>
    <t>7210 - Servicios de mantenimiento y reparaciones de construcciones e instalaciones</t>
  </si>
  <si>
    <t>7810 - Servicios de Transporte</t>
  </si>
  <si>
    <t>7811 - Alquiler de vehiculos</t>
  </si>
  <si>
    <t>7818 - Servicios de mantenimiento o reparación de transportes</t>
  </si>
  <si>
    <t>8010 - Servicios asesoría de Gestión</t>
  </si>
  <si>
    <t>8012 - Servicios Legales</t>
  </si>
  <si>
    <t>8110 - Servicios de profesionales de ingenieria</t>
  </si>
  <si>
    <t>8210 - Publicidad</t>
  </si>
  <si>
    <t>83112503 - Derechos de paso para el transito por sistemas de semicircuitos</t>
  </si>
  <si>
    <t>8610 - Servicios educativos y de formación</t>
  </si>
  <si>
    <t>901016 - Servicios de banquetes y catering</t>
  </si>
  <si>
    <t>TOTAL EN RD$</t>
  </si>
  <si>
    <t>SNCC.F.053</t>
  </si>
  <si>
    <t>NOMBRE DE LA ENTIDAD: INSTITUTO NACIONAL DE AGUA POTABLE Y ALCANTARILLADO (INAPA)</t>
  </si>
  <si>
    <t>FECHA DE NECESIDAD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</si>
  <si>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</si>
  <si>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</si>
  <si>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</si>
  <si>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</si>
  <si>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</si>
  <si>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</si>
  <si>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</si>
  <si>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</si>
  <si>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</si>
  <si>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</si>
  <si>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</si>
  <si>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</si>
  <si>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</si>
  <si>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</si>
  <si>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</si>
  <si>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DESCRIPCIÓN DE LA COMPRA O CONTRATACIÓN</t>
  </si>
  <si>
    <t>UNIDAD DE MEDIDA</t>
  </si>
  <si>
    <t>SEGUNDO TRIMESTRE</t>
  </si>
  <si>
    <t>TERCER TRIMESTRE</t>
  </si>
  <si>
    <t>CUARTO TRIMESTRE</t>
  </si>
  <si>
    <t>CANTIDAD TOTAL</t>
  </si>
  <si>
    <t>PRECIO UNITARIO ESTIMADO</t>
  </si>
  <si>
    <t>COSTO TOTAL UNITARIO ESTIMADO</t>
  </si>
  <si>
    <t>COSTO TOTAL POR CÓDIGO DE CATÁLOGO DE BIENES Y SERVICIOS (CBS)</t>
  </si>
  <si>
    <t xml:space="preserve"> PROCEDIMIENTO DE SELECCIÓN </t>
  </si>
  <si>
    <t>FUENTE DE FINANCIAMIENTO</t>
  </si>
  <si>
    <t>TIPO DE EMPRESA</t>
  </si>
  <si>
    <t xml:space="preserve">UDS </t>
  </si>
  <si>
    <t>UDS</t>
  </si>
  <si>
    <t>CLORO GAS ENVASADO EN CILINDROS DE 2000 LBS (INLCUYE CILINDROS)</t>
  </si>
  <si>
    <t>Libras</t>
  </si>
  <si>
    <t>KGS</t>
  </si>
  <si>
    <t>UNDS</t>
  </si>
  <si>
    <t>ROLLOS</t>
  </si>
  <si>
    <t>PAPEL HIGIENICO DE BAÑO</t>
  </si>
  <si>
    <t>PAPEL BOND 20  8 1/2" X 11"</t>
  </si>
  <si>
    <t>RESMA</t>
  </si>
  <si>
    <t>CAJAS</t>
  </si>
  <si>
    <t>Cinta para Maquina Sumadora</t>
  </si>
  <si>
    <t xml:space="preserve">GASOIL </t>
  </si>
  <si>
    <t>GLS</t>
  </si>
  <si>
    <t>GASOLINA</t>
  </si>
  <si>
    <t>Tikets de gasolina Denominación 500</t>
  </si>
  <si>
    <t>Tikets de gasolina Denominación 100</t>
  </si>
  <si>
    <t>CORTADORA DE ASFALTO</t>
  </si>
  <si>
    <t>PODADORA DE HILO CON MOTOR DE COMBUSTION INTERNA (2 TIEMPOS)</t>
  </si>
  <si>
    <t>PULIDORA GRANDE</t>
  </si>
  <si>
    <t>SOLDADORA PORTATIL 110/220</t>
  </si>
  <si>
    <t>EQUIPOS DE CORTE OXIACETILENO CORTADOR, REGULADOR DE OXIGENO Y ACETILENO.</t>
  </si>
  <si>
    <t>TINACO DE 250 GALONES</t>
  </si>
  <si>
    <t>Malla Ciclónica (Rollo)</t>
  </si>
  <si>
    <t/>
  </si>
  <si>
    <t>PIES</t>
  </si>
  <si>
    <t>CINCEL DE PUNTA</t>
  </si>
  <si>
    <t>CINCEL PLANO</t>
  </si>
  <si>
    <t>MACHETE DE 22"</t>
  </si>
  <si>
    <t>MANDARRIA DE 8 LBS</t>
  </si>
  <si>
    <t>MANDARRIA DE 3 LIBRAS</t>
  </si>
  <si>
    <t xml:space="preserve">MARCO DE SEGUETA </t>
  </si>
  <si>
    <t>MARTILLO DE BOLA 1 LIBRA</t>
  </si>
  <si>
    <t>PICO CON PALO</t>
  </si>
  <si>
    <t>LLAVE AJUSTABLE DE 18"</t>
  </si>
  <si>
    <t>LLAVE STILSON DE 18</t>
  </si>
  <si>
    <t>LLAVE STILSON DE 24</t>
  </si>
  <si>
    <t>LLAVE AJUSTABLE 12</t>
  </si>
  <si>
    <t>LLAVES COMBINADAS 12"</t>
  </si>
  <si>
    <t>CAJA DE HERRAMIENTA DE PLOMERIA</t>
  </si>
  <si>
    <t>UD</t>
  </si>
  <si>
    <t>LLAVES COMBINADAS 15"</t>
  </si>
  <si>
    <t>TORNILLOS DE 5/8 X 2"</t>
  </si>
  <si>
    <t>TORNILLOS DE 5/8 X 2 1/2"</t>
  </si>
  <si>
    <t>TORNILLOS DE 5/8 X 3"</t>
  </si>
  <si>
    <t>UNIDAD</t>
  </si>
  <si>
    <t>PICHUETES DE 1 1/2" 400 PSI</t>
  </si>
  <si>
    <t>HOJAS DE SEGUETA ROJA</t>
  </si>
  <si>
    <t>DISCO DE CORTE PEQUEÑO</t>
  </si>
  <si>
    <t>CINTA ADHESIVA</t>
  </si>
  <si>
    <t>UND</t>
  </si>
  <si>
    <t>CINTA DE EMPAQUE</t>
  </si>
  <si>
    <t>CUBETAS</t>
  </si>
  <si>
    <t>CINTA PARA ALCANTARILLADOS</t>
  </si>
  <si>
    <t>CEMENTO PVC 1/4 GLS</t>
  </si>
  <si>
    <t>GALONES</t>
  </si>
  <si>
    <t>TUBO DE ½” P.V.C.  SCH-40</t>
  </si>
  <si>
    <t>TUBO DE ¾” P.V.C.  SCH-40</t>
  </si>
  <si>
    <t>TUBO DE 1” P.V.C.  SCH-40</t>
  </si>
  <si>
    <t>TUBERIAS PVC SDR-32.5 Ø8"</t>
  </si>
  <si>
    <t>LINTERNAS RECARGABLES</t>
  </si>
  <si>
    <t>VALVULA DE COMPUERTA, PLATILLADA Y  CUADRANTE PARA 150PSI. Ø2", CON SUS DOS NIPLES PLATILLADOS, CON SU JUNTA DE GOMA, TORNILLOS Y TUERCAS</t>
  </si>
  <si>
    <t>VALVULA DE COMPUERTA, PLATILLADA Y  CUADRANTE PARA 150PSI. Ø3", CON SUS DOS NIPLES PLATILLADOS, CON SU JUNTA DE GOMA, TORNILLOS Y TUERCAS</t>
  </si>
  <si>
    <t>VALVULA DE COMPUERTA, PLATILLADA Y  CUADRANTE PARA 150PSI. Ø4", CON SUS DOS NIPLES PLATILLADOS, CON SU JUNTA DE GOMA, TORNILLOS Y TUERCAS</t>
  </si>
  <si>
    <t>VALVULA DE COMPUERTA, PLATILLADA Y CUADRANTE PARA 150PSI. Ø6", CON SUS DOS NIPLES PLATILLADOS, CON SU JUNTA DE GOMA, TORNILLOS Y TUERCAS</t>
  </si>
  <si>
    <t>ADAPTADORES HEMBRA 1/2 PVC</t>
  </si>
  <si>
    <t>ADAPTADORES HEMBRA 1 PVC</t>
  </si>
  <si>
    <t>ADAPTADORES MACHO 1/2 PVC</t>
  </si>
  <si>
    <t>ADAPTADORES MACHO DE 3/4 PVC</t>
  </si>
  <si>
    <t>ADAPTADORES MACHO DE 1 PVC</t>
  </si>
  <si>
    <t>REDUCCION PVC PRESION DE Ø3/4" A Ø1/2"</t>
  </si>
  <si>
    <t>REDUCCION PVC PRESION DE Ø1" A Ø1/2"</t>
  </si>
  <si>
    <t>REDUCCION PVC PRESION DE Ø2" A Ø1/2"</t>
  </si>
  <si>
    <t>REDUCCION PVC PRESION DE Ø3" A Ø2"</t>
  </si>
  <si>
    <t>TAPONES DE 1/2" PVC PRESION</t>
  </si>
  <si>
    <t>TAPONES DE 3/4" PVC PRESION</t>
  </si>
  <si>
    <t>TAPONES DE 1" PVC PRESION</t>
  </si>
  <si>
    <t>TAPONES DE 1 1/2" PVC PRESION</t>
  </si>
  <si>
    <t>TAPONES DE 2" PVC PRESION</t>
  </si>
  <si>
    <t>TAPONES DE 3" PVC PRESION</t>
  </si>
  <si>
    <t>TEE DE ½” PVC DE PRESIÓN</t>
  </si>
  <si>
    <t>TEE DE ¾” PVC DE PRESIÓN</t>
  </si>
  <si>
    <t>TEE DE 1” PVC DE PRESIÓN</t>
  </si>
  <si>
    <t xml:space="preserve">CODO 1/2*90º PVC PRESION </t>
  </si>
  <si>
    <t>CODO 3/4*90º PVC PRESION</t>
  </si>
  <si>
    <t>CODO 1*90º PVC PRESION</t>
  </si>
  <si>
    <t>NIPLES PLATILLO X DRESSER DE 2" X 12"</t>
  </si>
  <si>
    <t>JUNTAS DE GOMA PARA PLATILLO DE 2"</t>
  </si>
  <si>
    <t>FILTRO STRAINER DE 2"</t>
  </si>
  <si>
    <t>NIPLES PLATILLO X DRESSER DE 3" X 12"</t>
  </si>
  <si>
    <t>JUNTAS DE GOMA PARA PLATILLO DE 3"</t>
  </si>
  <si>
    <t xml:space="preserve">JUNTAS DE PLOMO </t>
  </si>
  <si>
    <t>FILTRO STRAINER DE 3"</t>
  </si>
  <si>
    <t>COUPLING DE 1/2 PVC</t>
  </si>
  <si>
    <t>COUPLING DE 3/4 PVC</t>
  </si>
  <si>
    <t>COUPLING DE 1 PVC</t>
  </si>
  <si>
    <t>COUPLING DE 2 PVC</t>
  </si>
  <si>
    <t>JUNTAS DRESSER DE  ½”PVC</t>
  </si>
  <si>
    <t>JUNTAS DRESSER DE ¾”PVC</t>
  </si>
  <si>
    <t>JUNTAS DRESSER DE 1 ½”PVC</t>
  </si>
  <si>
    <t>JUNTAS  TIPO DRESSER 3" ACERO</t>
  </si>
  <si>
    <t>JUNTAS  TIPO DRESSER 4" ACERO</t>
  </si>
  <si>
    <t>JUNTAS  TIPO DRESSER 12" ACERO</t>
  </si>
  <si>
    <t>JUNTAS  TIPO DRESSER 20" ACERO</t>
  </si>
  <si>
    <t>JUNTAS  TIPO DRESSER 24" ACERO</t>
  </si>
  <si>
    <t>UNION DE DRESSER Ø3/4</t>
  </si>
  <si>
    <t>Unidad</t>
  </si>
  <si>
    <t>Contador de Colonia</t>
  </si>
  <si>
    <t>Balanza analitico/digital</t>
  </si>
  <si>
    <t xml:space="preserve">Placas Petri </t>
  </si>
  <si>
    <t>Dispensador mecánico</t>
  </si>
  <si>
    <t>Termometro Infrarojo</t>
  </si>
  <si>
    <t>AUTOCLAVE</t>
  </si>
  <si>
    <t>BAÑO DE MARIA</t>
  </si>
  <si>
    <t>LAMPARA UV</t>
  </si>
  <si>
    <t>LAURYL TRYPTOSE BROTH, FRASCOS DE 500G</t>
  </si>
  <si>
    <t>BILI VERDE BRILLANTE AL 2%, FRASCO DE 500G</t>
  </si>
  <si>
    <t>CETRIMIDE AGAR, FRASCO DE 500G</t>
  </si>
  <si>
    <t xml:space="preserve"> REACTIVO PARA DETERMINAR AMONIO </t>
  </si>
  <si>
    <t xml:space="preserve">REACTIVO PARA DETERMINAR HIERRO </t>
  </si>
  <si>
    <t>REACTIVO PARA DETERMINAR NITRITO</t>
  </si>
  <si>
    <t>REACTIVO PARA DETERMINAR NITRATO</t>
  </si>
  <si>
    <t xml:space="preserve">REACTIVO PARA DETERMINAR FLUORUROS </t>
  </si>
  <si>
    <t>SOLUCION BUFFER DE PH 4 FRASCO DE 500 ML, AL NIST.</t>
  </si>
  <si>
    <t>SOLUCION BUFFER DE PH 7 FRASCO DE 500 ML, AL NIST.</t>
  </si>
  <si>
    <t>SOLUCION BUFFER DE PH 10 FRASCO DE 500 ML, AL NIST.</t>
  </si>
  <si>
    <t>Cepas microbiològicas certificadas Escherichia Coli</t>
  </si>
  <si>
    <t>Cepas microbiològicas certificadas Klebsiella aerògenes</t>
  </si>
  <si>
    <t>PURPURA DE BROMOCRESOL</t>
  </si>
  <si>
    <t>Cepas microbiològicas certificadas Pseudomonas aeruginosa</t>
  </si>
  <si>
    <t>Asas bacteriològicas de 3 mm de diàmetro, niquel-cromo</t>
  </si>
  <si>
    <t>Ortotolidina 100 g</t>
  </si>
  <si>
    <t xml:space="preserve">REACTIVO PARA DETERMINAR SULFATO </t>
  </si>
  <si>
    <t>TIOSULFATO DE SODIO, FRASCO DE 500 G</t>
  </si>
  <si>
    <t>MATERIAL DE REFERENCIA CERTIFICADO PARA DEMANDA</t>
  </si>
  <si>
    <t>MATERIAL DE REFERENCIA CERTIFICADO PARA SOLIDOS</t>
  </si>
  <si>
    <t>PRUEBA INTERLABORATORIAL DE DEMANDA</t>
  </si>
  <si>
    <t>PRUEBA INTERLABORATORIAL DE SOLIDOS</t>
  </si>
  <si>
    <t>PRUEBA INTERLABORATORIAL DE COLIFORMES (AGUA POTABLE)</t>
  </si>
  <si>
    <t>PRUEBA INTERLABORATORIAL DE COLIFORMES (AGUA DE FUENTE)</t>
  </si>
  <si>
    <t>PRUEBA INTERLABORATORIAL DE pH</t>
  </si>
  <si>
    <t>ALCOHOL ISOPROPILICO AL 70%</t>
  </si>
  <si>
    <t>KIT DE COMPARADORES DE CLORO Y PH</t>
  </si>
  <si>
    <t>VIALES DE BAJO RANGO (3-150) MG/L PARA DQO</t>
  </si>
  <si>
    <t>VIALES DE ALTO RANGO (20-1500) MG/L PARA DQO</t>
  </si>
  <si>
    <t>TUBOS DURHAM 6 X 50 MM, PAQUETES DE 72 TUBOS</t>
  </si>
  <si>
    <t xml:space="preserve">TUBOS DE ENSAYO </t>
  </si>
  <si>
    <t>PAPEL DE ALUMINIO</t>
  </si>
  <si>
    <t>TARJETA PARA IDENTIFICACION DE MUESTRAS</t>
  </si>
  <si>
    <t>BASE PARA BURETAS</t>
  </si>
  <si>
    <t>TIRILLA DE OXIDASA</t>
  </si>
  <si>
    <t>PLATE COUNT AGAR DE 500 G</t>
  </si>
  <si>
    <t>CARBONO ORGANICO TOTAL (COT)</t>
  </si>
  <si>
    <t>JERINGUILLAS DE 3CC</t>
  </si>
  <si>
    <t>JERINGUILLAS DE 5CC</t>
  </si>
  <si>
    <t>JERINGUILLAS DE 10CC</t>
  </si>
  <si>
    <t>LANCETA PARA GLUCOMETRO</t>
  </si>
  <si>
    <t>BAJA LENGUA (100 UNIDADES)</t>
  </si>
  <si>
    <t>PAPEL DE CAMILLA</t>
  </si>
  <si>
    <t>FRASCO DE AGUA OXIGENADA</t>
  </si>
  <si>
    <t>MASCARILLA PARA OXIGENO</t>
  </si>
  <si>
    <t>MASCARILLA PARA NEBULIZAR ADULTO</t>
  </si>
  <si>
    <t>ESFINOMANOMETRO MANUAL</t>
  </si>
  <si>
    <t>ESPECULO DESECHABLE DE OTOSCOPIO</t>
  </si>
  <si>
    <t>ESTETOSCOPIO</t>
  </si>
  <si>
    <t>CUBRE COLCHON PARA CAMILLA</t>
  </si>
  <si>
    <t>PAQUETES ALGODÓN</t>
  </si>
  <si>
    <t>GASAS</t>
  </si>
  <si>
    <t>ZO</t>
  </si>
  <si>
    <t>IMPRESORA MULTIFUNCIONAL</t>
  </si>
  <si>
    <t>ETIQUETADORA PORTATIL</t>
  </si>
  <si>
    <t>UPS</t>
  </si>
  <si>
    <t xml:space="preserve">COMPUTADORA COMPLETA </t>
  </si>
  <si>
    <t>TABLETS</t>
  </si>
  <si>
    <t>MEMORIA RAM DDR3 8GB</t>
  </si>
  <si>
    <t>MEMORIA RAM DDR4 8 GB</t>
  </si>
  <si>
    <t>MEMORIA RAM DDR4-SDRAM 2666 MHZ 16 GB</t>
  </si>
  <si>
    <t>LICENCIA DE AUTO CAD</t>
  </si>
  <si>
    <t>TRITURADORA DE PAPEL</t>
  </si>
  <si>
    <t>FOLDERS 8 1/2 X 11 DE 2 DIVISIONES (PARTITION) VERDE</t>
  </si>
  <si>
    <t>TABLA DE APOYO</t>
  </si>
  <si>
    <t>UDS.</t>
  </si>
  <si>
    <t xml:space="preserve">POST-IT BANDERITA </t>
  </si>
  <si>
    <t>SOBRE MANILA PEQUEÑO</t>
  </si>
  <si>
    <t>SOBRE MANILA MEDIANO</t>
  </si>
  <si>
    <t>SOBRE MANILA 14'' X 17"</t>
  </si>
  <si>
    <t>FELPAS NEGRAS</t>
  </si>
  <si>
    <t>FELPAS AZULES</t>
  </si>
  <si>
    <t>MARCADORES NEGROS</t>
  </si>
  <si>
    <t>MARCADORES AZUL</t>
  </si>
  <si>
    <t>MARCADORES ROJO</t>
  </si>
  <si>
    <t>MARCADORES PARA PIZARRA NEGRO</t>
  </si>
  <si>
    <t>RESALTADORES ROSADO</t>
  </si>
  <si>
    <t>RESALTADORES AMARILLO</t>
  </si>
  <si>
    <t>RESALTADORES MAMEY</t>
  </si>
  <si>
    <t>RESALTADORES AZULES</t>
  </si>
  <si>
    <t>RESALTADORES VERDES</t>
  </si>
  <si>
    <t>PERFORADORA PARA TARJETA DE INSPECCION DE EXTINTORES</t>
  </si>
  <si>
    <t>BANDITA DE GOMA</t>
  </si>
  <si>
    <t>TIJERAS DE OFICINA</t>
  </si>
  <si>
    <t>CERA PARA CONTAR</t>
  </si>
  <si>
    <t>CARPETAS DE 2"</t>
  </si>
  <si>
    <t>CARPETAS DE 1"</t>
  </si>
  <si>
    <t>CARPETA EN PASTA, CON TORNILLO (9*15")</t>
  </si>
  <si>
    <t>CHINCHETAS</t>
  </si>
  <si>
    <t>CLIPS GRANDES</t>
  </si>
  <si>
    <t>CLIP PEQUEÑOS</t>
  </si>
  <si>
    <t>CLIPS DE BILLETEROS PEQUEÑOS.</t>
  </si>
  <si>
    <t>SEPARADORES DE CARPETA</t>
  </si>
  <si>
    <t>SACA GRAPAS</t>
  </si>
  <si>
    <t>SACAPUNTAS</t>
  </si>
  <si>
    <t>TINTA AZUL PARA ALMOHADILLAS</t>
  </si>
  <si>
    <t>TINTA ROJA PARA SELLOS</t>
  </si>
  <si>
    <t>ALMOHADILLA PARA SELLOS</t>
  </si>
  <si>
    <t>PARES</t>
  </si>
  <si>
    <t xml:space="preserve">BOTIQUIN INDUSTRIAL </t>
  </si>
  <si>
    <t>4712 - Equipo de aseo</t>
  </si>
  <si>
    <t>RECOGEDOR DE BASURA</t>
  </si>
  <si>
    <t>ESCOBA PLASTICA CON SU PALO</t>
  </si>
  <si>
    <t>AMBIENTADORES</t>
  </si>
  <si>
    <t xml:space="preserve">BRILLO VERDE </t>
  </si>
  <si>
    <t xml:space="preserve">CLORO  </t>
  </si>
  <si>
    <t>DETERGENTE LIQUIDO (REMOVEDOR DE CEMENTO Y MANCHAS DE OXIDO)</t>
  </si>
  <si>
    <t>GALON</t>
  </si>
  <si>
    <t>JABON LIQUIDO PARA LAS MANOS</t>
  </si>
  <si>
    <t>GEL ANTIBACTERIAL</t>
  </si>
  <si>
    <t>DESINFECTANTE</t>
  </si>
  <si>
    <t>LIMPIA CRISTALES</t>
  </si>
  <si>
    <t>FUNDA DE BASURA DE 55 GALONES (FARDO 100 UDS)</t>
  </si>
  <si>
    <t xml:space="preserve">LIMPIADOR DE CRISTALES CON ESPONJA </t>
  </si>
  <si>
    <t>CAFÉ</t>
  </si>
  <si>
    <t>5100- Medicamentos y productos farmacéuticos</t>
  </si>
  <si>
    <t>CAPTROPIL 50MG (COMPRIMIDOS)</t>
  </si>
  <si>
    <t>DEXAMETAZONA 4 Ml/1 ml</t>
  </si>
  <si>
    <t>BEBEDERO</t>
  </si>
  <si>
    <t>MICROONDAS</t>
  </si>
  <si>
    <t>POLOSHIRT</t>
  </si>
  <si>
    <t>TOALLA DE MANO, PROMOCIONAL</t>
  </si>
  <si>
    <t>TSHIRT PROMOCIONAL</t>
  </si>
  <si>
    <t>GORRA</t>
  </si>
  <si>
    <t>CHALECO EN DRILL CON EL LOGO DEL INAPA</t>
  </si>
  <si>
    <t>BANDERA INAPA  EXTERIOR</t>
  </si>
  <si>
    <t>TARJETAS DE PRESENTACION</t>
  </si>
  <si>
    <t>BANNER/STICKER/PROMOCION</t>
  </si>
  <si>
    <t>PINS METALICO CON LOGO DE INAPA</t>
  </si>
  <si>
    <t>LOGOS GRANDES IMPRESOS</t>
  </si>
  <si>
    <t xml:space="preserve">Bajante informativo </t>
  </si>
  <si>
    <t>RODAJE</t>
  </si>
  <si>
    <t>KM</t>
  </si>
  <si>
    <t>TRANSPORTE</t>
  </si>
  <si>
    <t>SERVICIO DE GRUA Y TRANSPORTE</t>
  </si>
  <si>
    <t>HORAS</t>
  </si>
  <si>
    <t>SERVICIO DE EXCAVADORA</t>
  </si>
  <si>
    <t>7811 - Transporte de Pasajeros</t>
  </si>
  <si>
    <t>8010 - SERVICIOS ASESORÍA DE GESTIÓN</t>
  </si>
  <si>
    <t>Publicidad impresa (OEG)</t>
  </si>
  <si>
    <t>Publicidad en periódicos</t>
  </si>
  <si>
    <t xml:space="preserve">PEAJE </t>
  </si>
  <si>
    <t>31152002 - Alambre de Puas</t>
  </si>
  <si>
    <t>WELLINGTON ARNAUD</t>
  </si>
  <si>
    <t>________________________</t>
  </si>
  <si>
    <t>3210 - Circuitos impresos</t>
  </si>
  <si>
    <t>Total de Obras</t>
  </si>
  <si>
    <t>Total Sustancias Quimicas</t>
  </si>
  <si>
    <t>Total sin obras</t>
  </si>
  <si>
    <t>Tope Presupuestario</t>
  </si>
  <si>
    <t>Diferencia</t>
  </si>
  <si>
    <t>Restado a Operaciones</t>
  </si>
  <si>
    <t xml:space="preserve">Director Ejecutivo </t>
  </si>
  <si>
    <t>__________________________________</t>
  </si>
  <si>
    <t xml:space="preserve">5611 - Muebles Comerciales e Industriales </t>
  </si>
  <si>
    <t>8111 - Servicios Informáticos</t>
  </si>
  <si>
    <t>SULFATO DE ALUMINIO EN FUNDAS DE 25 O 50KG</t>
  </si>
  <si>
    <t>CAJAS PLASTICAS PARA ALMACENAR</t>
  </si>
  <si>
    <t>3020 - Estructuras prefabricadas</t>
  </si>
  <si>
    <t>AIRE ACONDICIONADO 24,000 BTU</t>
  </si>
  <si>
    <t>AIRE ACONDICIONADO 18,000 INVERTER</t>
  </si>
  <si>
    <t>AIRE ACONDICIONADO 12,000 BTU</t>
  </si>
  <si>
    <t>AIRE ACONDICIONADO  60,000 BTU INVERTER</t>
  </si>
  <si>
    <t>AIRE ACONTICIONADO  36,000 BTU INVERTER</t>
  </si>
  <si>
    <t>4213 - Telas y vestidos medicos</t>
  </si>
  <si>
    <t>Guantes /  cajas de 100 unidades</t>
  </si>
  <si>
    <t>Gorros desechables</t>
  </si>
  <si>
    <t>4322 - Equipos o plataformas y accesorios de redes multimedia o de voz y datos</t>
  </si>
  <si>
    <t>Column20</t>
  </si>
  <si>
    <t>Programa de Cocientizacion del uso del agua (produccion audiovisual)</t>
  </si>
  <si>
    <t>Central de Medios</t>
  </si>
  <si>
    <t>SERVICIO DE REHABILITACIONES ELECTROMECANICAS</t>
  </si>
  <si>
    <t>NEUMATICO 8.25 R15 MONTACARGAS</t>
  </si>
  <si>
    <t>4016 - Filtrado y purificacion industrial</t>
  </si>
  <si>
    <t>FOLDERS 8 1/2 X 11 DE 2 DIVISIONES (PARTITION) ROJO</t>
  </si>
  <si>
    <t>FOLDERS 8 1/2 X 11 DE 2 DIVISIONES (PARTITION) AZUL</t>
  </si>
  <si>
    <t>LANILLAS (YARDAS)</t>
  </si>
  <si>
    <t>SERVICIO DE MANTENIMIENTO DE 26 TANQUES DE COMBUSTIBLE</t>
  </si>
  <si>
    <t>SERVICIO DE TRANSPORTE DE EMPLEADOS SAN CRISTOBAL</t>
  </si>
  <si>
    <t>Publicidad en periódicos (PLACAS PERDIDAS)</t>
  </si>
  <si>
    <t>8114 - Tecnologías de Fabricación</t>
  </si>
  <si>
    <t>AMPOLLAS BIOINDICADORAS, PARA EL CONTROL DE ESTERILIZACION DEL AUTOCLAVE (CAJA)</t>
  </si>
  <si>
    <t>HISOPOS ESTERILES (CAJA)</t>
  </si>
  <si>
    <t xml:space="preserve">MONTO TOTAL (RD$) </t>
  </si>
  <si>
    <t>BOMBA DE ACHIQUE Ø3" CON SUS ACCESORIOS</t>
  </si>
  <si>
    <t>DISCO DE CORTE 9 1/2" EXTRAFINO</t>
  </si>
  <si>
    <t>Pie lineal</t>
  </si>
  <si>
    <t>3011 - Hormigón,  cemento  y  yeso</t>
  </si>
  <si>
    <t>YESO BLANCO</t>
  </si>
  <si>
    <t>FUNDAS</t>
  </si>
  <si>
    <t>M3</t>
  </si>
  <si>
    <t>Medidor de flujo de agua de 3/4 con conectores</t>
  </si>
  <si>
    <t>ROLLO DE PAPEL NCF (AUTOCOPIANTE)</t>
  </si>
  <si>
    <t>PLAN ANUAL DE COMPRAS Y CONTRATACIONES AÑO 2025</t>
  </si>
  <si>
    <t>ATADO</t>
  </si>
  <si>
    <t>TIC</t>
  </si>
  <si>
    <t xml:space="preserve">CLORO GAS ENVASADO EN CILINDROS DE 150 LBS </t>
  </si>
  <si>
    <t>LBS</t>
  </si>
  <si>
    <t>CLORO EN PASTILLA  EN KGS</t>
  </si>
  <si>
    <t>CAL HIDRATADA (HIDROXIDO DE CALCIO CA (OH)2</t>
  </si>
  <si>
    <t xml:space="preserve">Téfrío </t>
  </si>
  <si>
    <t>Galletas de avenas</t>
  </si>
  <si>
    <t xml:space="preserve">Frutas variadas </t>
  </si>
  <si>
    <t>Refrescos</t>
  </si>
  <si>
    <t xml:space="preserve">Picadera empacadas saladas </t>
  </si>
  <si>
    <t>CALIDAD DEL AGUA</t>
  </si>
  <si>
    <t xml:space="preserve">Gas Nitrogeno </t>
  </si>
  <si>
    <t>Pie cubico</t>
  </si>
  <si>
    <t>Gas Argon</t>
  </si>
  <si>
    <t>Congreso CLAD</t>
  </si>
  <si>
    <t>Batas de tela</t>
  </si>
  <si>
    <t>Laringoscopio</t>
  </si>
  <si>
    <t>Tubo Endotraqueal 7</t>
  </si>
  <si>
    <t>Tubo Endotraqueal 7.5</t>
  </si>
  <si>
    <t>Fijador Tubo Endotraqueal</t>
  </si>
  <si>
    <t>Guia de tubo endotraqueal</t>
  </si>
  <si>
    <t>Diplomado “Ciencia De Los Datos”</t>
  </si>
  <si>
    <t>Medidor de flujo de agua de 1/2 con conectores</t>
  </si>
  <si>
    <t>UNION UNIVERSAL PVC Ø1/2</t>
  </si>
  <si>
    <t>VALVULA DE PASO 1 ½” PVC</t>
  </si>
  <si>
    <t>VALVULA DE PASO 1” PVC</t>
  </si>
  <si>
    <t>2611 - Baterías  y  generadores  y  transmisión  de  energía  cinética</t>
  </si>
  <si>
    <t>Servicio por 1 año de bureau de credito interactivo para monitoreo de cuentas deudoras y consulta crediticia de clientes</t>
  </si>
  <si>
    <t>POST-IT PEQUEÑO 1 1/2" X 2"</t>
  </si>
  <si>
    <t>ROLLO DE PAPEL NCR TERMICO</t>
  </si>
  <si>
    <t>ADMINISTRATIVO</t>
  </si>
  <si>
    <t>LLAVE DE CHORRO DE 1/2 DE PALANCA</t>
  </si>
  <si>
    <t>LLAVE DE CHORRO DE 3/4 DE PALANCA</t>
  </si>
  <si>
    <t>PUNTA TRIA # 2</t>
  </si>
  <si>
    <t>PUNTA TRIA # 3</t>
  </si>
  <si>
    <t>DISCO DE CORTE METAL DE 4¨</t>
  </si>
  <si>
    <t>DISCO DE CORTE METAL DE 9¨</t>
  </si>
  <si>
    <t>DISCO DE PULIR DE PULIDORA # 100</t>
  </si>
  <si>
    <t>DISCO DE PULIR DE PULIDORA # 120</t>
  </si>
  <si>
    <t>DISCO DE PULIR DE PULIDORA # 50</t>
  </si>
  <si>
    <t>DISCO DE PULIR DE PULIDORA # 60</t>
  </si>
  <si>
    <t>DISCO DE PULIR DE PULIDORA # 80</t>
  </si>
  <si>
    <t>4411 - Accesorios de oficina y escritorio</t>
  </si>
  <si>
    <t>AGENDAS</t>
  </si>
  <si>
    <t>SOBRES BLANCOS</t>
  </si>
  <si>
    <t>Toner 058A</t>
  </si>
  <si>
    <t>5016 - Chocolates, azucares, edulcorantes y productos de confiteria</t>
  </si>
  <si>
    <t>AZUCAR BLANCA</t>
  </si>
  <si>
    <t>AZUCAR CREMA</t>
  </si>
  <si>
    <t>5016 - Chocolate, azucares, edulcorantes</t>
  </si>
  <si>
    <t>NEVERA EJECUTIVA</t>
  </si>
  <si>
    <t>BANDERA NACIONAL EXTERIOR</t>
  </si>
  <si>
    <t>BANDERA NACIONAL INTERIOR</t>
  </si>
  <si>
    <t>BANDERA INAPA  INTERIOR</t>
  </si>
  <si>
    <t>FUMIGACION NIVEL CENTRAL</t>
  </si>
  <si>
    <t>7313 - Industrias de alimentos y bebidas</t>
  </si>
  <si>
    <t>7313 - Industrias de Alimentos y Bebidas</t>
  </si>
  <si>
    <t>ALQUILER DE LOCAL LAS YAYAS, AZUA</t>
  </si>
  <si>
    <t>ALQUILER DE LOCAL TAMAYO, BAHORUCO</t>
  </si>
  <si>
    <t>ALQUILER DE LOCAL GALVAN. BAHORUCO</t>
  </si>
  <si>
    <t>ALQUILER DE LOCAL ENRIQUILLO, BARAHONA</t>
  </si>
  <si>
    <t>ALQUILER DE LOCAL VILLA CENTRAL, BARAHONA</t>
  </si>
  <si>
    <t>ALQUILER DE LOCAL LAS TARANAS, DUARTE</t>
  </si>
  <si>
    <t>ALQUILER DE LOCAL MICHES, EL SEIBO</t>
  </si>
  <si>
    <t>ALQUILER DE LOCAL EL VALLE, HATO MAYOR</t>
  </si>
  <si>
    <t>ALQUILER DE LOCAL DUVERGE, INDEPENDENCIA</t>
  </si>
  <si>
    <t>ALQUILER DE LOCAL EL FACTOR, MARIA TRINIDAD SANCHEZ</t>
  </si>
  <si>
    <t>ALQUILER DE LOCAL YAMASA, MONTE PLATA</t>
  </si>
  <si>
    <t>ALQUILER DE LOCAL PEPILLO SALCEDO, MONTECRISTI</t>
  </si>
  <si>
    <t>ALQUILER DE LOCAL PEDERNALES, PEDERNALES</t>
  </si>
  <si>
    <t>ALQUILER DE LOCAL CASTAÑUELA, MONTECRISTI</t>
  </si>
  <si>
    <t>ALQUILER DE LOCAL CAÑAFISTOL, PERAVIA</t>
  </si>
  <si>
    <t>ALQUILER DE LOCAL NIZAO, PERAVIA</t>
  </si>
  <si>
    <t>ALQUILER DE LOCAL PIZARRETE, PERAVIA</t>
  </si>
  <si>
    <t>ALQUILER DE LOCAL BOCA CANASTA, PERAVIA</t>
  </si>
  <si>
    <t>ALQUILER DE LOCAL SANCHEZ, SAMANA</t>
  </si>
  <si>
    <t>ALQUILER DE LOCAL CAMBITA GARABITOS, SAN CRISTOBAL</t>
  </si>
  <si>
    <t>ALQUILER DE LOCAL HAINA, SAN CRISTOBAL</t>
  </si>
  <si>
    <t>ALQUILER DE LOCAL LAS MATAS DE FARFAN, SAN JUAN DE LA MAGUANA</t>
  </si>
  <si>
    <t>ALQUILER DE LOCAL SAN JUAN, SAN JUAN DE LA MAGUANA</t>
  </si>
  <si>
    <t>ALQUILER DE LOCAL BOHECHIO, SAN JUAN DE LA MAGUANA</t>
  </si>
  <si>
    <t>ALQUILER DE LOCAL NAVARRETE, SANTIAGO</t>
  </si>
  <si>
    <t>ALQUILER DE LOCAL ESPERANZA, VALVERDE</t>
  </si>
  <si>
    <t>801315 - Alquiler y arrendamiento de propiedades o edificaciones</t>
  </si>
  <si>
    <t>801315 - Alquiler y arrendamiento de propiedades</t>
  </si>
  <si>
    <t>811415 - Control de Calidad</t>
  </si>
  <si>
    <t>MANTENIMIENTO DE TANQUES DE COMBUSTIBLE</t>
  </si>
  <si>
    <t xml:space="preserve">Montaje tipo bufet </t>
  </si>
  <si>
    <t>Vara Pertiga</t>
  </si>
  <si>
    <t>Pinza Amperimetrica</t>
  </si>
  <si>
    <t>Estandar de cloro</t>
  </si>
  <si>
    <t>Estandar de cloruro</t>
  </si>
  <si>
    <t>Estandar de alcalinidad</t>
  </si>
  <si>
    <t>Estandar de dureza</t>
  </si>
  <si>
    <t>Estandar de fluor</t>
  </si>
  <si>
    <t>Formacina</t>
  </si>
  <si>
    <t>Azul de Bromotimol</t>
  </si>
  <si>
    <t>Estandar para sulfato</t>
  </si>
  <si>
    <t>Inoculo para DBO</t>
  </si>
  <si>
    <t>Filtro de microfibra</t>
  </si>
  <si>
    <t xml:space="preserve">frascos de 250 mL </t>
  </si>
  <si>
    <t>ALAMBRE DE VINYL 12/2</t>
  </si>
  <si>
    <t>PIES LINEAL</t>
  </si>
  <si>
    <t xml:space="preserve">BUZONES </t>
  </si>
  <si>
    <t>Scaner de temperatura</t>
  </si>
  <si>
    <t>Electro Bomba Inatacable 5 hp</t>
  </si>
  <si>
    <t>Electro Bomba Inatacable 20 hp</t>
  </si>
  <si>
    <t>Caja de Herramientas</t>
  </si>
  <si>
    <t xml:space="preserve">2510 - Vehiculos de Motor </t>
  </si>
  <si>
    <t>2510 - Vehiculos de motor</t>
  </si>
  <si>
    <t>Camioneta Doble cabina</t>
  </si>
  <si>
    <t>Columnas de 6 Pulgs</t>
  </si>
  <si>
    <t>Columnas de 8 Pulgs</t>
  </si>
  <si>
    <t>Columnas de 10 Pulgs</t>
  </si>
  <si>
    <t>LLAVERO CON EL LOGO DE INAPA</t>
  </si>
  <si>
    <t>SILLA SECRETARIAL SIN BRAZO</t>
  </si>
  <si>
    <t>MOTOCICLETAS</t>
  </si>
  <si>
    <t xml:space="preserve">CAMIONETA DIESEL DOBLE CABINA AUTOMATICA </t>
  </si>
  <si>
    <t>MOCHILA DE CAMPO PARA LLEVAR EQUIPOS VARIOS</t>
  </si>
  <si>
    <t>LAPTOP</t>
  </si>
  <si>
    <t>CHECK HORIZONTAL Ø6" PSI 150 PSI</t>
  </si>
  <si>
    <t>CHECK HORIZONTAL Ø6" PSI 300 PSI</t>
  </si>
  <si>
    <t>CHECK HORIZONTAL Ø8" 300 PSI</t>
  </si>
  <si>
    <t xml:space="preserve">Caudalimetro ultrasónico no intrusivo portátil </t>
  </si>
  <si>
    <t>Data Logger</t>
  </si>
  <si>
    <t>Martillo de demolición</t>
  </si>
  <si>
    <t xml:space="preserve"> Varilla Redonda 3/8" x 20' </t>
  </si>
  <si>
    <t>Arena Lavada</t>
  </si>
  <si>
    <t xml:space="preserve">10170000-Fertilizantes  y  nutrientes  para  plantas  y  herbicidas  </t>
  </si>
  <si>
    <t>Herbicida</t>
  </si>
  <si>
    <t>Gls</t>
  </si>
  <si>
    <t>MOTOSIERRA 20</t>
  </si>
  <si>
    <t>2510 - Vehículos de motor</t>
  </si>
  <si>
    <t>CAMIONETA DIESEL DOBLE CABINA AUTOMATICA MODELO 2022</t>
  </si>
  <si>
    <t>3117 - Rodamientos, cojinetes ruedas y engranajes</t>
  </si>
  <si>
    <t>RODAMIENTO 6010-ZZ</t>
  </si>
  <si>
    <t>RODAMIENTO 6203-ZZ</t>
  </si>
  <si>
    <t>RODAMIENTO 6204-ZZ</t>
  </si>
  <si>
    <t>RODAMIENTO 6205-ZZ</t>
  </si>
  <si>
    <t>RODAMIENTO 6206-ZZ</t>
  </si>
  <si>
    <t>RODAMIENTO 6207-ZZ</t>
  </si>
  <si>
    <t>RODAMIENTO 6209-ZZ</t>
  </si>
  <si>
    <t>RODAMIENTO 6304-ZZ</t>
  </si>
  <si>
    <t>RODAMIENTO 6308-ZZ</t>
  </si>
  <si>
    <t>3121 - Pinturas y tapa poros y acabados</t>
  </si>
  <si>
    <t xml:space="preserve">PINTURA ACRILICA AZUL TURQUEZA </t>
  </si>
  <si>
    <t>312119 - Aplicadores de pintura y accesorios para pintar</t>
  </si>
  <si>
    <t>BROCHAS NO. 3</t>
  </si>
  <si>
    <t>ROLO PARA PINTAR</t>
  </si>
  <si>
    <t>BANDEJA DE PINTURA PLASTICA</t>
  </si>
  <si>
    <t>LAMPARA PARA POSTE LED</t>
  </si>
  <si>
    <t>BOMBILLO 20W, LUZ BLANCA</t>
  </si>
  <si>
    <t xml:space="preserve">Bombillo LED 12W </t>
  </si>
  <si>
    <t>INTERRUPTORES 220V</t>
  </si>
  <si>
    <t>DIFERENCIAL ELECTRICO DE 3 TONELADAS</t>
  </si>
  <si>
    <t>DISJUNTOR 3EV1041-ALA10</t>
  </si>
  <si>
    <t>EMPAQUETADURAS TEFLONADAS Ø 1/4"</t>
  </si>
  <si>
    <t>YUGO PARA VALVULA DE CILINDRO</t>
  </si>
  <si>
    <t>MANGUERA FLEXIBLE DE 6 PIES PARA CILINDRO DE CLORO DE 200 LIBRAS</t>
  </si>
  <si>
    <t xml:space="preserve">MANGUERA DE PRESION Ø1 1/2" DE DOBLE REVESTIMIENTO </t>
  </si>
  <si>
    <t>MANGUERA DE 3/8, ETUBING-150, PARA SISTEMA DE CLORACIÓN</t>
  </si>
  <si>
    <t>PHMETRO DE BOLSILLO</t>
  </si>
  <si>
    <t>ARCHIVO METALICO DE 3 GAVETAS</t>
  </si>
  <si>
    <t xml:space="preserve">LENTES DE PROTECCION TIPO GOOGLE </t>
  </si>
  <si>
    <t xml:space="preserve">MASCARILLA CON ARNES CARA COMPLETA </t>
  </si>
  <si>
    <t>KIT DE EMERGENCIA A. PARA FUGAS EN CILINDRO DE CLORO GAS DE 150 LBS</t>
  </si>
  <si>
    <t>KIT DE EMERGENCIA B. PARA FUGAS EN CILINDRO DE CLORO GAS DE 1 TONELADA</t>
  </si>
  <si>
    <t>ZAFACONES DE 5 GLS</t>
  </si>
  <si>
    <t>ESCRITORIO STANDARD</t>
  </si>
  <si>
    <t>DISJUNTOR MONOPOLAR MOD 5SX1-1 2AC</t>
  </si>
  <si>
    <t>DISJUNTOR MOD: 3RV1031-4FA10 SIEMEMS</t>
  </si>
  <si>
    <t>DISJUNTOR MODELO: 5SX1-1-2A CIRCUIT SIEMES</t>
  </si>
  <si>
    <t>BREAKER DE RIEL CAMSCO 3 P 6KA 400 V MODELO: C45N C63</t>
  </si>
  <si>
    <t>DISJUNTOR S290 3P C MODELO: ABB S293-C80</t>
  </si>
  <si>
    <t>INTERRUPTOR BIPOLAR 16A, 2P/4.5KA/C MODELO: G42C16</t>
  </si>
  <si>
    <t>DISJUNTOR MODELO: 3RV1031-4BA10 SIEMENS</t>
  </si>
  <si>
    <t>SIEMENS CONTACTOR AUXILIAR TAM S00 3NA-1NC B-220V MODELO: 3RH1131-1AN10</t>
  </si>
  <si>
    <t>CONTACTOR MODELO: LC1D25 TELEMECANIQUE</t>
  </si>
  <si>
    <t>TOMACORRIENTE DE 220V</t>
  </si>
  <si>
    <t>1235 - Compuestos y Mezclas</t>
  </si>
  <si>
    <t>SILICON PARA JUNTAS ALTO RENDIMIENTO RTV</t>
  </si>
  <si>
    <t>VÁLVULAS MARIPOSA  Ø4" TIPO WAFER CON PALANCA</t>
  </si>
  <si>
    <t>VÁLVULAS MARIPOSA Ø6" TIPO WAFER CON PALANCA</t>
  </si>
  <si>
    <t>VÁLVULAS MARIPOSA Ø10" TIPO WAFER (ACTUADOR NEUMATICO)</t>
  </si>
  <si>
    <t>LLAVE DE BOLA HG Ø1"</t>
  </si>
  <si>
    <t>LLAVE DE BOLA HG Ø2"</t>
  </si>
  <si>
    <t>1111 - Tierra y Piedra</t>
  </si>
  <si>
    <t>ARENA PARA FILTROS RAPIDO (0.9-1.0 mm)</t>
  </si>
  <si>
    <t>AMPERIMETRO</t>
  </si>
  <si>
    <t xml:space="preserve">Incubadora Ambiente </t>
  </si>
  <si>
    <t xml:space="preserve">Hot Plate - stirrer </t>
  </si>
  <si>
    <t>GUANTES DE NITRILO  (CAJA DE 100UDS)</t>
  </si>
  <si>
    <t>PAPEL TOALLA</t>
  </si>
  <si>
    <t>4110 - Equipo de Laboratorio y cientifico</t>
  </si>
  <si>
    <t>Cabina BSC</t>
  </si>
  <si>
    <t>Campana de extracción de gases</t>
  </si>
  <si>
    <t>Balanza analítico 2000g</t>
  </si>
  <si>
    <t xml:space="preserve">Frasco lavador </t>
  </si>
  <si>
    <t xml:space="preserve">Esterilizador de asas </t>
  </si>
  <si>
    <t>Data logger de verificación</t>
  </si>
  <si>
    <t>Equipo Multiparámetros de mesa</t>
  </si>
  <si>
    <t>Turbidímetro de mesa</t>
  </si>
  <si>
    <t>Juego de pesas</t>
  </si>
  <si>
    <t>Solución estándar conductividad</t>
  </si>
  <si>
    <t>Capsula de porcelana</t>
  </si>
  <si>
    <t>GRADILLAS DE POPIPROPILENO DE 120 PLAZAS  </t>
  </si>
  <si>
    <t>Neveritas palsticas</t>
  </si>
  <si>
    <t>Termo plastico</t>
  </si>
  <si>
    <t xml:space="preserve">Nevera </t>
  </si>
  <si>
    <t>42152200-Equipo y suministros dentales de laboratorio y de esterilización</t>
  </si>
  <si>
    <t xml:space="preserve">Mechero Bunsen </t>
  </si>
  <si>
    <t>2610 - Fuentes de Energia</t>
  </si>
  <si>
    <t>HIPOCLORITO DE CALCIO GRANULADO, EN KGS</t>
  </si>
  <si>
    <t>CLORADORES COMPLETO PARA LOS ACUEDUCTOS  0-2000  POR SOLUCIÓN</t>
  </si>
  <si>
    <t>50201711 - Té Instantaneo</t>
  </si>
  <si>
    <t>50101634 - Fruta Fresca</t>
  </si>
  <si>
    <t>50202306 - Refrescos</t>
  </si>
  <si>
    <t>40141702 - Grifos</t>
  </si>
  <si>
    <t>40141743 - Puntas o capas de boquillas</t>
  </si>
  <si>
    <t>40141743 - Puntas o Capas de Boquilla</t>
  </si>
  <si>
    <t>41112501 - Flujómetros</t>
  </si>
  <si>
    <t>53121603 - Morrales</t>
  </si>
  <si>
    <t>12352104 - Alcoholes o sus sustitutos</t>
  </si>
  <si>
    <t>14121703 - Hojas de Papel de aluminio laminado</t>
  </si>
  <si>
    <t>42141502 - Palitos (copitos) con punta de fibra</t>
  </si>
  <si>
    <t>41104102 - Lancetas</t>
  </si>
  <si>
    <t>42181501 - Depresores de lenga o baja lenguas</t>
  </si>
  <si>
    <t>14121601 - Papel Crepé sin blanquear</t>
  </si>
  <si>
    <t>51102709 - Peróxido de Hidrógeno antiséptico</t>
  </si>
  <si>
    <t>4227 - Productos de resucitación, anestesia y respiratorio</t>
  </si>
  <si>
    <t>4218 - Productos de examen y control del paciente</t>
  </si>
  <si>
    <t>5212 - Ropa de Cama, Mantelerias, paños de cocina y toallas</t>
  </si>
  <si>
    <t>1115 - Fibra, hilos e hilados</t>
  </si>
  <si>
    <t xml:space="preserve">ESPUMA LIMPIADORA  </t>
  </si>
  <si>
    <t>31201514 - Cinta de Sellado de Hilo politetraflouretileno</t>
  </si>
  <si>
    <t>10161700 - Flores Cortadas</t>
  </si>
  <si>
    <t xml:space="preserve">FOLDERS 8 1/2 X 11 AMARILLO </t>
  </si>
  <si>
    <t>FOLDERS 8 1/2 X 13 AMARILLO</t>
  </si>
  <si>
    <t>BOLIGRAFOS AZULES</t>
  </si>
  <si>
    <t xml:space="preserve">BOLIGRAFOS NEGROS </t>
  </si>
  <si>
    <t>BOLIGRAFOS ROJOS</t>
  </si>
  <si>
    <t xml:space="preserve">LAPIZ CARBON HB= 2 </t>
  </si>
  <si>
    <t xml:space="preserve">GRAPADORAS DE METAL </t>
  </si>
  <si>
    <t xml:space="preserve">CLIPS DE BILLETEROS GRANDES </t>
  </si>
  <si>
    <t>CLIPS DE BILLETEROS MEDIANOS DE 1 PULG</t>
  </si>
  <si>
    <t>ESCANER</t>
  </si>
  <si>
    <t>IMPRESORA ALTO VOLUMEN</t>
  </si>
  <si>
    <t>8014 - Comercializacion y Distribución</t>
  </si>
  <si>
    <t>ASESORIA PARA LA ELABORACION DE PLAN MAESTRO DE GESTION E INVERCION DE AGUA POTABLE Y SANEAMIENTO DE REPUBLICA DOMINICANA</t>
  </si>
  <si>
    <t>Auditoria Cierre de Ejercicio</t>
  </si>
  <si>
    <t>Almuerzos preenpacados Institucional</t>
  </si>
  <si>
    <t>Almuerzo tipo Buffet Institucional</t>
  </si>
  <si>
    <t>Refrigerios pre enpacados Institucional</t>
  </si>
  <si>
    <t>2613 - Generacion de energia</t>
  </si>
  <si>
    <t>5018 - Productos de Panadería</t>
  </si>
  <si>
    <t>Suscripciones en periodo</t>
  </si>
  <si>
    <t>Escalera telescopica de Fibra de Vidrio 32 pies</t>
  </si>
  <si>
    <t>4228 - Tiras Indicadores de Esterelizacion</t>
  </si>
  <si>
    <t>CINTA INDICADORA AUTOCLAVE</t>
  </si>
  <si>
    <t>4228 - Tiras indicadores de Esterilizacion</t>
  </si>
  <si>
    <t>Gestión de Denuncias</t>
  </si>
  <si>
    <t>LAMINAS PARA PLASTIFICAR</t>
  </si>
  <si>
    <t>PORTA CARNET PLASTICO RIGIDO VERTICAL</t>
  </si>
  <si>
    <t xml:space="preserve">CINTA PARA IMPRESIÓN DE CARNET </t>
  </si>
  <si>
    <t>Porta Carnet Yoyo con logo INAPA</t>
  </si>
  <si>
    <t>PLASTICO DE PVC PARA CARNET (PAQUETE DE 500 UDS)</t>
  </si>
  <si>
    <t>Collar Porta Carnet con cierre Breakaway y Logo INAPA</t>
  </si>
  <si>
    <t>451215 - Equipo de Video, Filmacion o Fotografia</t>
  </si>
  <si>
    <t xml:space="preserve">Camara Digitales </t>
  </si>
  <si>
    <t>TUBOS DE ACERO E=1/4" Ø2"</t>
  </si>
  <si>
    <t>TUBOS DE ACERO  E=1/4" Ø3"</t>
  </si>
  <si>
    <t>TUBOS DE ACERO  E=1/4" Ø4"</t>
  </si>
  <si>
    <t>TUBOS DE ACERO  E=3/8" Ø8"</t>
  </si>
  <si>
    <t>TUBOS DE ACERO E=3/8" Ø12"</t>
  </si>
  <si>
    <t>TUBOS DE ACERO  E=3/8" Ø16"</t>
  </si>
  <si>
    <t>TUBERIAS PVC SDR-32.5 Ø6"</t>
  </si>
  <si>
    <t>JUNTAS REDUCTORAS A ASBESTO CEMENTO Ø3"</t>
  </si>
  <si>
    <t>JUNTAS REDUCTURAS A ASBESTO CEMENTO Ø4"</t>
  </si>
  <si>
    <t>JUNTAS REDUCTURAS A ASBESTO CEMENTO TIPO B, Ø12"</t>
  </si>
  <si>
    <t>JUNTAS REDUCTURAS A ASBESTO CEMENTO TIPO B, Ø16"</t>
  </si>
  <si>
    <t>JUNTAS REDUCTURAS A ASBESTO CEMENTO TIPO C, Ø12"</t>
  </si>
  <si>
    <t>JUNTAS REDUCTURAS A ASBESTO CEMENTO TIPO C, Ø16"</t>
  </si>
  <si>
    <t>JUNTAS REDUCTURAS A ASBESTO CEMENTO TIPO D, Ø8"</t>
  </si>
  <si>
    <t>JUNTAS REDUCTURAS A ASBESTO CEMENTO TIPO D, Ø12"</t>
  </si>
  <si>
    <t>JUNTAS  TIPO DRESSER 2" ACERO</t>
  </si>
  <si>
    <t xml:space="preserve">Contratación servicios de consultoría para la elaboración del Plan Institucional de Gestión Ambiental </t>
  </si>
  <si>
    <t>Contratación servicios de consultoría para la elaboración del Plan Institucional de Gestión de Riesgos</t>
  </si>
  <si>
    <t>PRIMER TRIMESTRE</t>
  </si>
  <si>
    <t>PARAGUAS LOGO INAPA</t>
  </si>
  <si>
    <t>CARROS DE CARGA 450KG</t>
  </si>
  <si>
    <t>GAVETAS ORGANIZADORES PLASTICOS REFORZADOS</t>
  </si>
  <si>
    <t>SILLA TECNICA</t>
  </si>
  <si>
    <t>SILLONES EJECUTIVOS</t>
  </si>
  <si>
    <t>SILLONES SEMI-EJECUTIVO</t>
  </si>
  <si>
    <t>Arrancadores suavse 75 hp</t>
  </si>
  <si>
    <t>VALVULA 3/4" PARA CILINDRO DE CLORO DE 150 LBS CON SU FUSIBLE</t>
  </si>
  <si>
    <t>VALVULA 3/4" PARA CILINDRO DE CLORO DE 2000 LBS SIN FUSIBLE</t>
  </si>
  <si>
    <t xml:space="preserve">VALVULA DE PASO 1/2” PVC </t>
  </si>
  <si>
    <t xml:space="preserve">VALVULA DE PASO 3/4” PVC </t>
  </si>
  <si>
    <t>GUANTES DE NEOPRENO</t>
  </si>
  <si>
    <t>Estimación de la incertidumbre mediciones fisicoquímicas (Módulo básico, intermedio y avanzado).</t>
  </si>
  <si>
    <t>BAÑO PORTATIL</t>
  </si>
  <si>
    <t>LAMPARA LED 2X2</t>
  </si>
  <si>
    <t>Reflector LED 100W</t>
  </si>
  <si>
    <t>Reflector LED 200W</t>
  </si>
  <si>
    <t>PLAFON PVC 2X2 (CAJAS)</t>
  </si>
  <si>
    <t>111216 -Madera</t>
  </si>
  <si>
    <t xml:space="preserve">ENLATE 1/4 DE MADERA PINO </t>
  </si>
  <si>
    <t>Enlate de 3 x 3 MADERA PINO</t>
  </si>
  <si>
    <t>Capacitación PMP® Mentoring Program</t>
  </si>
  <si>
    <t>NVR DE 8 CANALES</t>
  </si>
  <si>
    <t>NVR DE 32 CANALES</t>
  </si>
  <si>
    <t>CAMARAS BULLET SOLAR DE 4 MEGAPIXELES</t>
  </si>
  <si>
    <t>Mantenimiento  sistema aquarius</t>
  </si>
  <si>
    <t>271129-HERRAMIENTAS DISPENSADORAS</t>
  </si>
  <si>
    <t xml:space="preserve">Dispensador de Combustible </t>
  </si>
  <si>
    <t>40141739- Material de Ferreteria y Acesorio</t>
  </si>
  <si>
    <t>TAPA PLASTICA REDONDA DE ALTO TRANSITO</t>
  </si>
  <si>
    <t>TAPAS PPR PARA REGISTROS SANITARIOS</t>
  </si>
  <si>
    <t>Servicios de mantenimiento del sistema dynamic</t>
  </si>
  <si>
    <t>ALQUILER DE LOCAL VILLA LOS ALMACIGOS, SANTIAGO RODRIGUEZ</t>
  </si>
  <si>
    <t>FREON R410A</t>
  </si>
  <si>
    <t xml:space="preserve">MALLA CICLONICA DE 6 PIES </t>
  </si>
  <si>
    <t>PIE</t>
  </si>
  <si>
    <t>ANGULARES DE 1 1/2  X 3/16</t>
  </si>
  <si>
    <t>LACA NATURAL SEMI-MATE</t>
  </si>
  <si>
    <t>OXIDO ROJO</t>
  </si>
  <si>
    <t>PINTURA NEGRA MATE (PARA BORRAR P/SEñALIZACION)</t>
  </si>
  <si>
    <t xml:space="preserve">PINTURA TRAFICO BLANCO </t>
  </si>
  <si>
    <t xml:space="preserve">PINTURA TRAFICO P/SEñALIZACION AMARILLA </t>
  </si>
  <si>
    <t xml:space="preserve">PINTURA TRAFICO P/SEñALIZACION AZUL </t>
  </si>
  <si>
    <t>RETARDADOR</t>
  </si>
  <si>
    <t>THINNER</t>
  </si>
  <si>
    <t>GL</t>
  </si>
  <si>
    <t>TABLA DE VOLUMENES</t>
  </si>
  <si>
    <t>VARA P/MEDIR COMBUSTIBLES DE 6 PIES</t>
  </si>
  <si>
    <t>VARA P/MEDIR COMBUSTIBLES DE 12 PIES</t>
  </si>
  <si>
    <t>ESCANER INALAMBRICO</t>
  </si>
  <si>
    <t>IMPRESORA TERMICA</t>
  </si>
  <si>
    <t xml:space="preserve">PENETRANTE </t>
  </si>
  <si>
    <t>551217-Señalización</t>
  </si>
  <si>
    <t>Maripositas #22</t>
  </si>
  <si>
    <t>PINTURA ACRILICA ARENA (CUBETA)</t>
  </si>
  <si>
    <t>PINTURA ACRILICA BLANCA (CUBETA)</t>
  </si>
  <si>
    <t>PINTURA AZUL ESMALTE INDUSTRIAL POSITIVO (CUBETA)</t>
  </si>
  <si>
    <t>PINTURA AZUL TURQUEZA (AGRILICA) (CUBETA)</t>
  </si>
  <si>
    <t>MASCARILLA TIPO CIRUGÍA DE 3 CAPAS (CAJAS)</t>
  </si>
  <si>
    <t>GUANTES DE NITRILO PARA LABORATORIO (CAJAS)</t>
  </si>
  <si>
    <t>8411-Servicios de Contabilidad y Audititoria</t>
  </si>
  <si>
    <t>Servicio de Descarga de Cilindros de 150 LBS de Cloro Gas con Valvulas Trancadas y/o Taponadas</t>
  </si>
  <si>
    <t>7710-Gestion Medioambiental</t>
  </si>
  <si>
    <t>JUNTAS DRESSER DE 1 ”PVC</t>
  </si>
  <si>
    <r>
      <t xml:space="preserve">Almuerzo Tipo Buffet </t>
    </r>
    <r>
      <rPr>
        <strike/>
        <sz val="12"/>
        <color rgb="FFFF0000"/>
        <rFont val="Arial Narrow"/>
        <family val="2"/>
      </rPr>
      <t/>
    </r>
  </si>
  <si>
    <t xml:space="preserve">Almuerzos preenpacados </t>
  </si>
  <si>
    <t xml:space="preserve">Desayuno  </t>
  </si>
  <si>
    <r>
      <t>Refrigerio pre enpacado</t>
    </r>
    <r>
      <rPr>
        <strike/>
        <sz val="12"/>
        <color theme="1"/>
        <rFont val="Arial Narrow"/>
        <family val="2"/>
      </rPr>
      <t/>
    </r>
  </si>
  <si>
    <t>301915 - Escaleras y andamios</t>
  </si>
  <si>
    <t>Grasa Siliconizada</t>
  </si>
  <si>
    <t>Compresor para pintar pequeño (completo)</t>
  </si>
  <si>
    <t>WATERCAD</t>
  </si>
  <si>
    <t>PULIDORA 110V</t>
  </si>
  <si>
    <t>Electrodos 6010 1/8 para penetracion</t>
  </si>
  <si>
    <t>CAJA</t>
  </si>
  <si>
    <t>ESLINGA DE CARGA 3,000KG</t>
  </si>
  <si>
    <t>Trolley para mover cilindros</t>
  </si>
  <si>
    <t>DIFERENCIALES ELECTRICOS (POLIPASTOS) 1 TON</t>
  </si>
  <si>
    <t>CARROS DE CARGA DE PLATAFORMA 300KG</t>
  </si>
  <si>
    <t>DIFERENCIALES ELECTRICOS (POLIPASTOS) 5 TON</t>
  </si>
  <si>
    <t xml:space="preserve">LLAVE TORQUE PARA VALVULA DE CLORO </t>
  </si>
  <si>
    <t>TALADRO</t>
  </si>
  <si>
    <t>3116 - Ferreteria</t>
  </si>
  <si>
    <t>Teflon Rosado</t>
  </si>
  <si>
    <t>Pintura Esmalte Amarillo (Spray)</t>
  </si>
  <si>
    <t>TUBO DE ½” P.V.C.  SCH-80</t>
  </si>
  <si>
    <t>TUBO DE 3/4” P.V.C.  SCH-80</t>
  </si>
  <si>
    <t>TUBO DE 1” P.V.C.  SCH-80</t>
  </si>
  <si>
    <t>TUBO DE 2” P.V.C.  SCH-80</t>
  </si>
  <si>
    <t>Bombas centrifuga multi etapa 2HP</t>
  </si>
  <si>
    <t>Bombas centrifuga multi etapa 3HP</t>
  </si>
  <si>
    <t>Bombas centrifuga multi etapa 3/4HP</t>
  </si>
  <si>
    <t>Bombas centrifuga multi etapa 5HP</t>
  </si>
  <si>
    <t>BOMBA CENTRIFUGA 1 HP</t>
  </si>
  <si>
    <t>BOMBA CENTRIFUGA 2 HP</t>
  </si>
  <si>
    <t>BOMBA CENTRIFUGA 3 HP</t>
  </si>
  <si>
    <t>Detector monogas para cloro gas</t>
  </si>
  <si>
    <t>Balanza Digital con Plataforma</t>
  </si>
  <si>
    <t xml:space="preserve">CODO HG DE 1-1/2" X 90, </t>
  </si>
  <si>
    <t>LLAVE 200 TWISTED</t>
  </si>
  <si>
    <t>LLAVE 200 PLANA</t>
  </si>
  <si>
    <t>Valvulas  de 3/4 para cilindros  con fusibles,  tallo espiga CL2</t>
  </si>
  <si>
    <t>Capuchones</t>
  </si>
  <si>
    <t>MANOMETRO DE GLICERINA 0-100 PSI</t>
  </si>
  <si>
    <t>MANOMETRO DE GLICERINA 0-200 PSI</t>
  </si>
  <si>
    <t>MANOMETRO DE GLICERINA 0-300 PSI</t>
  </si>
  <si>
    <t xml:space="preserve">MASCARILLA MEDIA CARA CON ARNES DOBLE FILTRO </t>
  </si>
  <si>
    <t xml:space="preserve">FILTRO DE MASCARILLA PARA CLORO </t>
  </si>
  <si>
    <t>BOTAS DE SEGURIDAD PARA SUSTANCIAS QUIMICAS</t>
  </si>
  <si>
    <t>SCBA</t>
  </si>
  <si>
    <t>EQUIPO DE SEGURIDAD PARA CLORO, KIT A</t>
  </si>
  <si>
    <t>EQUIPO DE SEGURIDAD PARA CLORO, KIT B</t>
  </si>
  <si>
    <t>CLORADOR POR SOLUCION DE RANGO 0-50 LIBRAS POR DIA</t>
  </si>
  <si>
    <t>CLORADOR POR SOLUCION DE RANGO 0-100 LIBRAS POR DIA</t>
  </si>
  <si>
    <t>CLORADOR POR SOLUCION DE RANGO 0-500 LIBRAS POR DIA</t>
  </si>
  <si>
    <t>MANGUERA DE POLIETILENO DE 1/2 , PARA SISTEMA DE CLORACIÓN (ROLLO 100 PIES)</t>
  </si>
  <si>
    <t xml:space="preserve">TURBIDIMETRO PORTATIL </t>
  </si>
  <si>
    <t>TOTAL SIN OBRAS RD$</t>
  </si>
  <si>
    <t xml:space="preserve">ARENA PARA FILTROS RAPIDO </t>
  </si>
  <si>
    <t>CAPA TORPED0</t>
  </si>
  <si>
    <t>Tranformadores 75kva, 7200 vac, 277/480 vac</t>
  </si>
  <si>
    <t xml:space="preserve">CAMISA MANGAS LARGAS TIPO COLUMBIA, LOGO BORDADO DE LA INAPA </t>
  </si>
  <si>
    <t>CONTACTOR DE 250 HP</t>
  </si>
  <si>
    <t>CONTACTOR DE 400 HP</t>
  </si>
  <si>
    <t>CONTACTOR DE 600 HP</t>
  </si>
  <si>
    <t>ARRANCADOR SUAVE 600 HP</t>
  </si>
  <si>
    <t>Cable URD #1/0 (pies)</t>
  </si>
  <si>
    <t xml:space="preserve">BOMBA SUMERGIBLE 2 HP </t>
  </si>
  <si>
    <t>Escaleras telescopica 32 pies</t>
  </si>
  <si>
    <t>Motor electrico Sumergible 15 hp, 460 Vac, 3ph</t>
  </si>
  <si>
    <t>Motor electrico Sumergible 20 hp, 460 Vac, 3ph</t>
  </si>
  <si>
    <t>Motor electrico Sumergible 60 hp, 460 Vac, 3ph</t>
  </si>
  <si>
    <t>Motor electrico Sumergible 75 hp, 460 Vac, 3ph</t>
  </si>
  <si>
    <t>ELECTROBOMBA CENTRIFUGA HORIZONTAL 2100/185</t>
  </si>
  <si>
    <t>ELECTROBOMBA CENTRIFUGA HORIZONTAL 1300/245</t>
  </si>
  <si>
    <t>COMPACTADOR DE IMPACTOS (MAQUITO)</t>
  </si>
  <si>
    <t>MOTOSOLDADORA PORTATIL DIESEL AC/DC 240A</t>
  </si>
  <si>
    <t>TUBERIAS PVC SDR-26 L=19' Ø12"</t>
  </si>
  <si>
    <t>TUBERIAS PVC SDR-26 L=19' Ø16"</t>
  </si>
  <si>
    <t>TUBERIAS PVC SDR-26 L=19' Ø20"</t>
  </si>
  <si>
    <t>TUBOS DE ACERO  E=3/8" Ø6"</t>
  </si>
  <si>
    <t>TALADRO TIPO  DEMOLEDOR</t>
  </si>
  <si>
    <t>MARTILLO DE DEMOLICION ELECTRICO</t>
  </si>
  <si>
    <t>SERVICIO LIMPIEZA, MANTENIMIENTO Y AFORO DE POZO</t>
  </si>
  <si>
    <t>TRIPODES PARA LABORES EN ESPACIOS CONFINADOS</t>
  </si>
  <si>
    <t>POLEAS DE ASCENSO RAPIDO PARA LABORES EN ESPACIOS CONFINADOS</t>
  </si>
  <si>
    <t>Guantes para manipulacion de alto agarre</t>
  </si>
  <si>
    <t>Traje Enterizo Desechable</t>
  </si>
  <si>
    <t>TUBOS DE ACERO  E=3/8" Ø20"</t>
  </si>
  <si>
    <t>SERVICIO DE AUDITORÍA DEL EJERCICIO FISCAL 2024 PARA EL CUMPLIMIENTO DE ENTREGABLES DEL PROGRAMA DE MODERNIZACIÓN DEL SECTOR APS-INAPA/BM</t>
  </si>
  <si>
    <t>SERVILLETAS DE MANO PARA BAÑO (PAQUETES)</t>
  </si>
  <si>
    <t>REFRIGERANTE DE VEHICULOS</t>
  </si>
  <si>
    <t>TANQUE</t>
  </si>
  <si>
    <t>SISTEMA DE ESTANTERIA DE CARGA MEDIA</t>
  </si>
  <si>
    <t>Mapp Pro Gas Petrolay</t>
  </si>
  <si>
    <t>Methanol</t>
  </si>
  <si>
    <t>Filtro de Aceite (Monta Carga Hancha 2019)</t>
  </si>
  <si>
    <t>Filtro de Gasoil Trampa  (Monta Carga Hancha 2019)</t>
  </si>
  <si>
    <t>Filtro de Aire (Nissan Navara 1 CAB. NP300 2016)</t>
  </si>
  <si>
    <t>Filtro de Gasoil (Nissan Navara 1 CAB. NP300 2016)</t>
  </si>
  <si>
    <t>Filtro de Cabina (Nissan Navara 1 CAB. NP300 2016)</t>
  </si>
  <si>
    <t>Filtro de Aire (Chevrolet Colorado 2020)</t>
  </si>
  <si>
    <t>CD SOLO LECTURA</t>
  </si>
  <si>
    <t>Toner Negro 14A (CF214A)</t>
  </si>
  <si>
    <t>Tinta Epson 544 Azul</t>
  </si>
  <si>
    <t>Toner 655A Amarillo</t>
  </si>
  <si>
    <t>Toner 655A Magenta</t>
  </si>
  <si>
    <t>Toner 655A Azul</t>
  </si>
  <si>
    <t>Toner 655A Negro</t>
  </si>
  <si>
    <t xml:space="preserve">GUANTES DE LIMPIEZA </t>
  </si>
  <si>
    <t>ALQUILER DE LOCAL VALLEJUELOS, SAN JUAN DE LA MAGUANA</t>
  </si>
  <si>
    <t>Cuenta</t>
  </si>
  <si>
    <t>IMPERMEABILIZANTE (SELLADOR )(CUBETA)</t>
  </si>
  <si>
    <t>FURGONES DE  20" PARA OFICINAS COMERCIALES</t>
  </si>
  <si>
    <t>FURGONES DE  40" PARA OFICINAS COMERCIALES</t>
  </si>
  <si>
    <t>1310 - Caucho y elastómeros</t>
  </si>
  <si>
    <t>MELAMINA RH 18 MM CON SERVICIO DE CORTE Y CANTEADO</t>
  </si>
  <si>
    <t>MELAMINA RH 25 MM CON SERVICIO DE CORTE Y CANTEADO</t>
  </si>
  <si>
    <t>1235 -Compuestos y Mezclas</t>
  </si>
  <si>
    <t>2317 - Maquinaria, equipo y suministros para talleres</t>
  </si>
  <si>
    <t>1511 - Combustibles y aditivos gaseosos</t>
  </si>
  <si>
    <t>8411 - Servicios de contabilidad y auditorias</t>
  </si>
  <si>
    <t xml:space="preserve">Flores cortadas,  aniversario del INAPA </t>
  </si>
  <si>
    <t xml:space="preserve">Flores cortadas, Altar de la Patria </t>
  </si>
  <si>
    <t xml:space="preserve">Bienvenida de la Navidad (show y animación) </t>
  </si>
  <si>
    <t xml:space="preserve">Decoracion de Navidad </t>
  </si>
  <si>
    <t>9015- Servicio de entretenimiento</t>
  </si>
  <si>
    <t xml:space="preserve">RESUMEN GENERAL </t>
  </si>
  <si>
    <t>PLAN ANUAL DE COMPRAS Y CONTRATACIONES  AÑO 2026</t>
  </si>
  <si>
    <t>TOTAL DE COMPRAS  DEL 2026</t>
  </si>
  <si>
    <t>Caja de herramientas modular, 6 piezas minimo</t>
  </si>
  <si>
    <t>Taladros inalambricos rotomartillos</t>
  </si>
  <si>
    <t>Kit de dos taladros de impactos profesional</t>
  </si>
  <si>
    <t>Sierra cinta o banda compacta inalambrica</t>
  </si>
  <si>
    <t>Pulidora inalambrica pequena de 7pulg los discos</t>
  </si>
  <si>
    <t>Juegos de brocas diferentes diametros</t>
  </si>
  <si>
    <t>Escalera de extension a tipo A de 8 a 16 pies, Metalica</t>
  </si>
  <si>
    <t>Caja de Registros 2x4 de 3x4 met reforzado</t>
  </si>
  <si>
    <t>Tubos MET de 1 galbanizado americano</t>
  </si>
  <si>
    <t>Tubos met de 3/4 galbanizado americano</t>
  </si>
  <si>
    <t>Conector recto de Licuit tide de 3/4</t>
  </si>
  <si>
    <t>Tester para video vigilancia profesional, con generador de tono</t>
  </si>
  <si>
    <t>Fusionadora de fibra optica</t>
  </si>
  <si>
    <t>OTDR PARA FIBRA OPTICA PROFESIONAL</t>
  </si>
  <si>
    <t>kit Broca de doble estriado para cortar agujeros de metal 19 tamaños de 3/16 a 1-3/8 pulgadas</t>
  </si>
  <si>
    <t>Switch administrable de 16 puertos gigabit POE ++</t>
  </si>
  <si>
    <t>Switch administrables de 8 puertos gigabit POE</t>
  </si>
  <si>
    <t>Kit de varias herramientas diferentes</t>
  </si>
  <si>
    <t>Pistola de clavos de Impacto profesional</t>
  </si>
  <si>
    <t>Cajas de tiros con sus clavos para pistolas de impacto</t>
  </si>
  <si>
    <t>Kit de herramientas de verificacion y seguimiento de cables de red</t>
  </si>
  <si>
    <t>Set de herramientas Knock Out inalambricas desde 1/2 hasta 4 pulgadas o +</t>
  </si>
  <si>
    <t>CAJAS DE CABLES UTP CAT 6 CERTIFICADA 100%COBRE 23WAG</t>
  </si>
  <si>
    <t>CAJA DE CABLE 22/4 100%COBRE</t>
  </si>
  <si>
    <t>Patch cord slin feet de 1 pies 0 12 pulgadas</t>
  </si>
  <si>
    <t>Registros octagonales de 3/4</t>
  </si>
  <si>
    <t>Tapa de registros 2x4 MET</t>
  </si>
  <si>
    <t>Registro Nema 3 12x12x6</t>
  </si>
  <si>
    <t>cerradura electromagnetica de 600 libras</t>
  </si>
  <si>
    <t>Coupling de 1 MET reforzado</t>
  </si>
  <si>
    <t>Letras LB de 1</t>
  </si>
  <si>
    <t>Abrazadera de 1 MET Reforzada</t>
  </si>
  <si>
    <t>Registros Nema 3 6x6x4</t>
  </si>
  <si>
    <t>Cinta Guia electrica, plastica y o fibras de 100 pies profesional</t>
  </si>
  <si>
    <t>Cinta Guia electrica, plastica y o fibras de 150 pies profesional</t>
  </si>
  <si>
    <t>Coupling de 3/4 MET reforzado</t>
  </si>
  <si>
    <t>Abrazadera de 3/4 MET Reforzada</t>
  </si>
  <si>
    <t>Caja de registro exterior ip65 12x17x6 metalico</t>
  </si>
  <si>
    <t xml:space="preserve">Letras LB de 3/4 </t>
  </si>
  <si>
    <t>Tarugos verdes de 1/4x2.5</t>
  </si>
  <si>
    <t>Adaptadores machos de 1 reforzados MET</t>
  </si>
  <si>
    <t>Adaptadores machos de 3/4 reforzados MET</t>
  </si>
  <si>
    <t>Antena Radio enlace punto a punto  para 15 KM igual o mayor</t>
  </si>
  <si>
    <t>Registros para camaras hikvision domo</t>
  </si>
  <si>
    <t>Equipos de proteccion personal EPP, Grado Profesional, para altura</t>
  </si>
  <si>
    <t>Controladoras para 4 puertas ZK</t>
  </si>
  <si>
    <t>ULZ Bracker 600 libras</t>
  </si>
  <si>
    <t>Botones no touch</t>
  </si>
  <si>
    <t>Sistema Automatizado para el Sistema de Gestion Integrado</t>
  </si>
  <si>
    <t>PDU DE 8 salidas</t>
  </si>
  <si>
    <t>Patch cord de 0.5 pies slim feet o 6 pulgadas</t>
  </si>
  <si>
    <t>Patch cord de 7 a 8 pies</t>
  </si>
  <si>
    <t>Esclerometro digital mecanico</t>
  </si>
  <si>
    <t>Velocimetro acustico doppler (ADV) - equipo de medición de caudal</t>
  </si>
  <si>
    <t>Medidor Laser de Distancia (100 metros)</t>
  </si>
  <si>
    <t>Cinta métrica de 5 mts</t>
  </si>
  <si>
    <t>Cinta métrica de 10 mts</t>
  </si>
  <si>
    <t>Cinta métrica de 50 mts</t>
  </si>
  <si>
    <t>Odometro de rueda de 12¨</t>
  </si>
  <si>
    <t>INGENIERIA</t>
  </si>
  <si>
    <t>Power Bank portatil</t>
  </si>
  <si>
    <t>Laptop Gaming</t>
  </si>
  <si>
    <t>Pantallas Interactivas de 65 Pulgadas</t>
  </si>
  <si>
    <t xml:space="preserve">ETABS </t>
  </si>
  <si>
    <t>Kit de tintas para HP T200 series</t>
  </si>
  <si>
    <t>Mouse pad</t>
  </si>
  <si>
    <t>Audifonos con microfono</t>
  </si>
  <si>
    <t xml:space="preserve">Camara web </t>
  </si>
  <si>
    <t>SERVIDOR PARA ALMACENAMIENTO DE DATOS</t>
  </si>
  <si>
    <t>PC Gaming</t>
  </si>
  <si>
    <t>Walkie talkie</t>
  </si>
  <si>
    <t>MONITOR 27"</t>
  </si>
  <si>
    <t>Flotas (celulares) (100 minutos + Internet)</t>
  </si>
  <si>
    <t>25132100 - Vehiculo Aereo No tripulado</t>
  </si>
  <si>
    <t>Dron</t>
  </si>
  <si>
    <t>Cable de acero inoxidable 1/4¨</t>
  </si>
  <si>
    <t>Metro</t>
  </si>
  <si>
    <t>Equipo portátil de medición de salinidad y/o de conductividad</t>
  </si>
  <si>
    <t>Equipo portátil de medición de sólidos totales</t>
  </si>
  <si>
    <t>Escáner de concreto</t>
  </si>
  <si>
    <t xml:space="preserve">Altimetros de Mano de alta presicion </t>
  </si>
  <si>
    <t>Cámara termográfica</t>
  </si>
  <si>
    <t>Sonda TLC  - Temperatura, Nivel, Conductividad Modelo 107</t>
  </si>
  <si>
    <t>Medidor de resistividad Sondeo Eléctrico Vertical Detector de agua subterránea con 2D como resultado el equipo geofísico</t>
  </si>
  <si>
    <t>Correntómetro universal con molinete</t>
  </si>
  <si>
    <t>Fotómetro turbidímetro multiparamétrico</t>
  </si>
  <si>
    <t>CASCOS PROTECTOR</t>
  </si>
  <si>
    <t>CHALECOS LUMINICOS PARA PROTECCION</t>
  </si>
  <si>
    <t>PALA CUADRADA</t>
  </si>
  <si>
    <t xml:space="preserve">PALA DE CORTE REDONDA </t>
  </si>
  <si>
    <t>SERRUCHO DE 18"</t>
  </si>
  <si>
    <t>LLAVE STILSON DE 12</t>
  </si>
  <si>
    <t>LLAVE STILSON DE 16</t>
  </si>
  <si>
    <t>COMERCIAL</t>
  </si>
  <si>
    <t>NIPLES PLATILLO X DRESSER DE 4" X 12"</t>
  </si>
  <si>
    <t>JUNTAS DE GOMA PARA PLATILLO DE 4"</t>
  </si>
  <si>
    <t>FILTRO STRAINER DE 4"</t>
  </si>
  <si>
    <t>DPyD</t>
  </si>
  <si>
    <t xml:space="preserve">ESCOBILLAS PARA LAVAR CRISTALERIA </t>
  </si>
  <si>
    <t>BALON DE PRECIPITADO</t>
  </si>
  <si>
    <t>PERA ACEITE Y GRASAS</t>
  </si>
  <si>
    <t>BASE DE PERAS DE ACEITE Y GRASAS</t>
  </si>
  <si>
    <t>Mesa  antivibraciones</t>
  </si>
  <si>
    <t>Congelador de laboratorio</t>
  </si>
  <si>
    <t>MESETA DE ACERO INOXIDABLE</t>
  </si>
  <si>
    <t>REACTIVO PARA DETERMINAR FOSFATO</t>
  </si>
  <si>
    <t>EC.MEDIUM, FRASCOS DE 500G</t>
  </si>
  <si>
    <t>SOLUCION BUFFER DE PH 4 FRASCO DE 500 ML, a la ISO 17034.</t>
  </si>
  <si>
    <t>SOLUCION BUFFER DE PH 7 FRASCO DE 500 ML, a la ISO 17034.</t>
  </si>
  <si>
    <t>SOLUCION BUFFER DE PH 10 FRASCO DE 500 ML, a la ISO 17034.</t>
  </si>
  <si>
    <t>Ac. Esteárico</t>
  </si>
  <si>
    <t>n-Hexadecano</t>
  </si>
  <si>
    <t>PESAS DE 10 mg</t>
  </si>
  <si>
    <t>PESAS DE 20 mg</t>
  </si>
  <si>
    <t>BALANZA DE PRESICIÓN</t>
  </si>
  <si>
    <t>Bureta digital</t>
  </si>
  <si>
    <t>MANTENIMIENTO ACREDITACION</t>
  </si>
  <si>
    <t>AMPLIACION DEL ALCANCE DE LA ACREDITACION</t>
  </si>
  <si>
    <t>Camion Succionadores</t>
  </si>
  <si>
    <t>AGUAS RESIDUALES</t>
  </si>
  <si>
    <t>TUBERIAS PVC SDR-32.5 Ø12"</t>
  </si>
  <si>
    <t>COMUNICACIONES</t>
  </si>
  <si>
    <t>COMERCIAL (BM)</t>
  </si>
  <si>
    <t>Pala cuadrada</t>
  </si>
  <si>
    <t>Pala de corte redonda</t>
  </si>
  <si>
    <t>Serrucho 18´´</t>
  </si>
  <si>
    <t>Llave Stilson de 12</t>
  </si>
  <si>
    <t>Capacitacion AVANZADA de ARCGIS (10 personas)</t>
  </si>
  <si>
    <t>Capacitacion AVANZADA de QGIS (10 personas)</t>
  </si>
  <si>
    <t>Diplomado Gestión y Manejo de Proyectos (8 personas)</t>
  </si>
  <si>
    <t>Motor electrico  vertical  30 HP, 460 Vac., 3PH 3500 RPM</t>
  </si>
  <si>
    <t>Motor electrico  vertical  125 HP, 460 Vac., 3PH 3500 RPM</t>
  </si>
  <si>
    <t>Motor electrico  vertical  150 HP, 460 Vac., 3PH 3500 RPM</t>
  </si>
  <si>
    <t>Motor electrico  vertical  250 HP, 460Vac., 3ph</t>
  </si>
  <si>
    <t>Motor electrico  vertical  25 HP, 460 Vac., 3PH 3500 RPM</t>
  </si>
  <si>
    <t>Motor electrico  vertical  20 HP, 460 Vac., 3PH 3500 RPM</t>
  </si>
  <si>
    <t>ELECTROMECANICA (BM)</t>
  </si>
  <si>
    <t>Arrancadores suave 20 hp</t>
  </si>
  <si>
    <t>Arrancadores suave 30 hp</t>
  </si>
  <si>
    <t>Tranformadores 15kva, 7200 vac,277/480 vac</t>
  </si>
  <si>
    <t xml:space="preserve">Tranformadores 25kva, 7200 vac,277/480vac </t>
  </si>
  <si>
    <t>Tranformadores 37.5kva, 7200 vac, 277/480 vac</t>
  </si>
  <si>
    <t xml:space="preserve">Tranformadores 50kva, 7200 vac,277/480vac </t>
  </si>
  <si>
    <t>Tranformadores 250kva, 7200 vac, 277/480 vac</t>
  </si>
  <si>
    <t>BOMBA DE POZO PROFUNDO 70/575</t>
  </si>
  <si>
    <t>Electro Bomba Inatacable 25 hp</t>
  </si>
  <si>
    <t xml:space="preserve"> Instalacion y mantenimiento de Red de Media de tension</t>
  </si>
  <si>
    <t>Compensacion Energetica</t>
  </si>
  <si>
    <t>CONTACTOR DE 75 HP</t>
  </si>
  <si>
    <t>CONTACTOR DE 100 HP</t>
  </si>
  <si>
    <t>CONTACTOR DE 150 HP</t>
  </si>
  <si>
    <t>CONTACTOR DE 200 HP</t>
  </si>
  <si>
    <t>CONTACTOR DE 350 HP</t>
  </si>
  <si>
    <t>TRANSFORMADOR SECO DE 200 W</t>
  </si>
  <si>
    <t>TRANSFORMADOR SECO DE 150 W</t>
  </si>
  <si>
    <t>TRANSFORMADOR SECO DE 250 W</t>
  </si>
  <si>
    <t>ELECTROMECANICA</t>
  </si>
  <si>
    <t xml:space="preserve">ELECTROMECANICA </t>
  </si>
  <si>
    <t>ARRANCADOR SUAVE 75 HP</t>
  </si>
  <si>
    <t>ARRANCADOR SUAVE 150 HP</t>
  </si>
  <si>
    <t>ARRANCADOR SUAVE 200 HP</t>
  </si>
  <si>
    <t xml:space="preserve">Kit de Herramientas </t>
  </si>
  <si>
    <t>ELECTRO BOMBA INATASCABLE 3 hp</t>
  </si>
  <si>
    <t>ELECTRO BOMBA INATASCABLE 10 hp</t>
  </si>
  <si>
    <t>ELECTRO BOMBA INATASCABLE 15 hp</t>
  </si>
  <si>
    <t>ELECTRO BOMBA INATASCABLE 40 hp</t>
  </si>
  <si>
    <t>ELECTROBOMBAS SUMERGIBLE 1HP</t>
  </si>
  <si>
    <t>ELECTROBOMBAS SUMERGIBLE 1.5HP</t>
  </si>
  <si>
    <t>ELECTROBOMBAS SUMERGIBLE 2HP</t>
  </si>
  <si>
    <t>ELECTROBOMBAS SUMERGIBLE 3HP</t>
  </si>
  <si>
    <t>SERVICIO DE TALLERES PARA REPARACION DE MOTORES ELECTRICOS</t>
  </si>
  <si>
    <t>SERVICIO DE TALLERES PARA REPARACION DE TRANSFORMADORES</t>
  </si>
  <si>
    <t>SERVICIO DE TALLERES PARA REPARACION DE BOMBAS</t>
  </si>
  <si>
    <t>ADMINISTRATIVO (BM)</t>
  </si>
  <si>
    <t>AIRE ACONDICIONADO 5 TONELADAS (MANEJADORA)</t>
  </si>
  <si>
    <t>ABANICO DE TECHO</t>
  </si>
  <si>
    <t>ABANICO DE PARED</t>
  </si>
  <si>
    <t>1116 - Tejidos y materiales de cuero</t>
  </si>
  <si>
    <t>ESTOPA</t>
  </si>
  <si>
    <t>LB</t>
  </si>
  <si>
    <t>Papel para Calculadoras o Cajas Registradora</t>
  </si>
  <si>
    <t>PAPEL CARBON AZUL</t>
  </si>
  <si>
    <t>Libreta Rayada 5 x 7</t>
  </si>
  <si>
    <t>LIBRETA RAYADA 8 1/2" X 11"</t>
  </si>
  <si>
    <t>Libreta Rayada Pequeña</t>
  </si>
  <si>
    <t>LIBRETAS TIMBRADAS</t>
  </si>
  <si>
    <t>POST-IT GRANDE 3" X 5"</t>
  </si>
  <si>
    <t>Post-It Mediano 3 x 3</t>
  </si>
  <si>
    <t>LIBROS RECORD DE 300 PAGINAS</t>
  </si>
  <si>
    <t>LIBROS RECORD DE 150 PAGINAS</t>
  </si>
  <si>
    <t>LIBROS RECORD DE 500 PAGINAS</t>
  </si>
  <si>
    <t>Tikets de gasolina Denominación 1000</t>
  </si>
  <si>
    <t>2110 - Maquinaria  y  equipo  para  agricultura,  silvicultura  y  paisajismo</t>
  </si>
  <si>
    <t>PODADORA DE CESPED</t>
  </si>
  <si>
    <t>PALLETS PLASTICOS</t>
  </si>
  <si>
    <t>ESTANTERIA DE CARGA</t>
  </si>
  <si>
    <t>GARRAFON/TANQUE DE COMBUSTIBLE 15 GLS</t>
  </si>
  <si>
    <t>TALADRO DE BATERIA</t>
  </si>
  <si>
    <t>TALADRO ELECTRICO</t>
  </si>
  <si>
    <t xml:space="preserve">PISTOLA FULMINANTE </t>
  </si>
  <si>
    <t>PERFILES 2X2 GALVANIZADO</t>
  </si>
  <si>
    <t>PERFILES 2X1 GALVANIZADO</t>
  </si>
  <si>
    <t>PERFILES 3X1 1/2 GALBANIZADO</t>
  </si>
  <si>
    <t>PLANCHAS DE ALUZINC ACANALADO 14 PIES</t>
  </si>
  <si>
    <t>PLANCHAS DE ALUZINC ACANALADO 12 PIES</t>
  </si>
  <si>
    <t>ANGULAR 1 1/2 X 3/16 X 20</t>
  </si>
  <si>
    <t>ANGULAR 2 X 3/16 X 20</t>
  </si>
  <si>
    <t>BARRAS REDONDA. 1/2 X 20</t>
  </si>
  <si>
    <t>BARRAS CUADRADA. 1/2 X 20</t>
  </si>
  <si>
    <t>ROLDANA P/RIEL COLGANTE S/T 4 RUEDAS</t>
  </si>
  <si>
    <t>PARALES (PERFIL CGM 2 1/2 X 10)</t>
  </si>
  <si>
    <t>DURMIENTES (TRANSVERSALES 2 1/2 X 10)</t>
  </si>
  <si>
    <t>PLANCHA DE YESO 4'x8' -1/2''</t>
  </si>
  <si>
    <t>ESQUINERO METALICO</t>
  </si>
  <si>
    <t>CROSSTEE 2</t>
  </si>
  <si>
    <t>CROSSTEE 4</t>
  </si>
  <si>
    <t>MAINTEE</t>
  </si>
  <si>
    <t>ANGULARES</t>
  </si>
  <si>
    <t>PLANCHELA 1 1/2</t>
  </si>
  <si>
    <t xml:space="preserve">ADMINISTRATIVO </t>
  </si>
  <si>
    <t>ARCHIVO DE METAL 8 1/2 X 13 4 GAVETAS</t>
  </si>
  <si>
    <t>Toner 078A</t>
  </si>
  <si>
    <t>Toner 212A Negro</t>
  </si>
  <si>
    <t>Toner 212A Azul</t>
  </si>
  <si>
    <t>Toner 212A Magenta</t>
  </si>
  <si>
    <t>Toner 212A Amarillo</t>
  </si>
  <si>
    <t>Toner 030A </t>
  </si>
  <si>
    <t>Toner Negro , CF289YC (89Y)</t>
  </si>
  <si>
    <t>Tinta 544 Negro</t>
  </si>
  <si>
    <t>Tinta 544 Cyan</t>
  </si>
  <si>
    <t>Tinta 544 Magenta</t>
  </si>
  <si>
    <t>Tinta 544 Amarillo</t>
  </si>
  <si>
    <t xml:space="preserve">Juego de cartucho LC406 (Negro, Azul, Magenta, Amarillo) </t>
  </si>
  <si>
    <t>TONER 032A (NEGRO)</t>
  </si>
  <si>
    <t>TONER 305A AMARILLO</t>
  </si>
  <si>
    <t>TONER 305A MAGENTA</t>
  </si>
  <si>
    <t>TONER 305A CYAN</t>
  </si>
  <si>
    <t>TONER 305A NEGRO</t>
  </si>
  <si>
    <t>TONER NEGRO 414A (W2020A)</t>
  </si>
  <si>
    <t>TONER AMARILLO 414A (W2022A)</t>
  </si>
  <si>
    <t>TONER CIAN 414 A (W20214)</t>
  </si>
  <si>
    <t>TONER MAGENTA  414A(W20234)</t>
  </si>
  <si>
    <t>Perforadoras de Dos Hoyos</t>
  </si>
  <si>
    <t>3017 - Puertas y ventanas y vidrio</t>
  </si>
  <si>
    <t>Puertas Plegable</t>
  </si>
  <si>
    <t>PASTA P/MEDIR AGUA EN LOS COMBUSTIBLES</t>
  </si>
  <si>
    <t>PASTA P/MEDIR COMBUSTIBLES</t>
  </si>
  <si>
    <t>PINTURA AZUL LAGUNA SATINADA (GL)</t>
  </si>
  <si>
    <t>CUBETA</t>
  </si>
  <si>
    <t>PINTURA GRIS INSTITUCIONAL</t>
  </si>
  <si>
    <t>BASE SELLADOR DE TECHO</t>
  </si>
  <si>
    <t>PASTA DE MASILLA FERRER</t>
  </si>
  <si>
    <t>TUBO</t>
  </si>
  <si>
    <t>PASTA DE MASILLA ACRILICA COLOR CAOBA</t>
  </si>
  <si>
    <t>PASTA DE MASILLA ACRILICA COLOR  BLANCA</t>
  </si>
  <si>
    <t>OLEO # 02</t>
  </si>
  <si>
    <t>OLEO # 03</t>
  </si>
  <si>
    <t>AGUARRAS</t>
  </si>
  <si>
    <t xml:space="preserve">LACA GRIS </t>
  </si>
  <si>
    <t>RELLENO GRIS</t>
  </si>
  <si>
    <t>RELLENO BLANCO</t>
  </si>
  <si>
    <t>BROCHA GRIS CERDA 4¨</t>
  </si>
  <si>
    <t>BROCHA GRIS CERDA 2¨</t>
  </si>
  <si>
    <t>PALO EXTENSION DE 3 METRO</t>
  </si>
  <si>
    <t>PALO EXTENSOR 1.2MTS</t>
  </si>
  <si>
    <t>PALO EXTENSOR 1.50 MTS</t>
  </si>
  <si>
    <t>PORTA ROLO</t>
  </si>
  <si>
    <t>ESPATULA 3¨</t>
  </si>
  <si>
    <t xml:space="preserve">MINIROLO  </t>
  </si>
  <si>
    <t>MOTA ANTIGOTA</t>
  </si>
  <si>
    <t>MOTA CORRUGADA</t>
  </si>
  <si>
    <t>FOLDER ACORDEON</t>
  </si>
  <si>
    <t>FELPAS ROJA</t>
  </si>
  <si>
    <t>FELPAS VERDE</t>
  </si>
  <si>
    <t>Ega</t>
  </si>
  <si>
    <t>Espaciadores y Separadores</t>
  </si>
  <si>
    <t>Espirales Transparentes 12 MM</t>
  </si>
  <si>
    <t>Fecheros</t>
  </si>
  <si>
    <t>GANCHO MACHO- HEMBRA</t>
  </si>
  <si>
    <t>GRAPAS ESTANDARS</t>
  </si>
  <si>
    <t>GRAPAS GRANDES</t>
  </si>
  <si>
    <t>LIQUIDO CORRECTOR</t>
  </si>
  <si>
    <t>BORRADORES DE GOMA</t>
  </si>
  <si>
    <t>CARPETAS DE 4"</t>
  </si>
  <si>
    <t>CARPETAS DE 3"</t>
  </si>
  <si>
    <t>CARPETAS DE 1/2"</t>
  </si>
  <si>
    <t xml:space="preserve">LENTES DE PROTECCION </t>
  </si>
  <si>
    <t>GUANTES PARA JARDINERA</t>
  </si>
  <si>
    <t xml:space="preserve">CAPAS DE LLUVIA </t>
  </si>
  <si>
    <t>GUANTES DE MANGA LARGA PARA LIMPIEZA</t>
  </si>
  <si>
    <t>CONTENEDORES DE DESECHOS PARA RECICLAJE</t>
  </si>
  <si>
    <t>FUNDA DE BASURA PARA ZAFACON 24*30 (FARDO 15 UDS)</t>
  </si>
  <si>
    <t>GOMA DESTAPA CAÑOS</t>
  </si>
  <si>
    <t>SWAPERS DE ALGODON</t>
  </si>
  <si>
    <t>DETERGENTE LIQUIDO</t>
  </si>
  <si>
    <t>DETERGENTE EN POLVO</t>
  </si>
  <si>
    <t>SACOS</t>
  </si>
  <si>
    <t>AGUA EN BOTELLONES</t>
  </si>
  <si>
    <t xml:space="preserve">Agua Tetrapak </t>
  </si>
  <si>
    <t>ESTUFA ELECTRICA 2 HORNILLAS</t>
  </si>
  <si>
    <t>MICROONDAS 1,800W</t>
  </si>
  <si>
    <t>ETIQUETAS P/ IMPRESORA (cajas de 15 rollos)</t>
  </si>
  <si>
    <t>MESA PLEGLABLE TIPO BUFFET</t>
  </si>
  <si>
    <t>Mesa Sala de Conferencia</t>
  </si>
  <si>
    <t xml:space="preserve">Servicio de Mantenimiento de Cisternas del Nivel Central </t>
  </si>
  <si>
    <t>Adquisicion, Movimiento  e Instalacion de Paneles de Vidrios</t>
  </si>
  <si>
    <t>CREMA PARA CAFÉ</t>
  </si>
  <si>
    <t>7612 - Servicios de Reciclaje</t>
  </si>
  <si>
    <t>Servicio de Reciclaje</t>
  </si>
  <si>
    <t>CALIDAD DEL AGUA (BM)</t>
  </si>
  <si>
    <t>25181706 - Remolque Contenedor con Temperatura Controlada</t>
  </si>
  <si>
    <t>Furgon de 20 pies habilitado como laboratorio</t>
  </si>
  <si>
    <t>DESIONIZADOR DE AGUA</t>
  </si>
  <si>
    <t>Incubadora</t>
  </si>
  <si>
    <t>Incubadora  60 °C</t>
  </si>
  <si>
    <t>Frascos de 150 mL</t>
  </si>
  <si>
    <t>NEVERA DE REFRIGERACION</t>
  </si>
  <si>
    <t>NEVERA INCUBADORA</t>
  </si>
  <si>
    <t>REACTOR PARA DQO</t>
  </si>
  <si>
    <t>SISTEMA ESTERILIZACION UV</t>
  </si>
  <si>
    <t>HORNO DE SECADO</t>
  </si>
  <si>
    <t xml:space="preserve">CARTUCHOS PARA DESIONIZADOR </t>
  </si>
  <si>
    <t>BOMBA DE VACIO</t>
  </si>
  <si>
    <t>ESPECTROFOTOMETRO</t>
  </si>
  <si>
    <t>TOMADOR DE MUESTRA</t>
  </si>
  <si>
    <t>Data Logger interno</t>
  </si>
  <si>
    <t>MEDIDOR DE RESISTIVIDAD DE DESIONIZADOR</t>
  </si>
  <si>
    <t>TERMOHIGROMETRO</t>
  </si>
  <si>
    <t>NEGRO DE ERIOCROMO</t>
  </si>
  <si>
    <t xml:space="preserve">MUREXIDA  </t>
  </si>
  <si>
    <t>KIT PARA DETERMINACION DE PSEUDOMONA</t>
  </si>
  <si>
    <t>Pipeta monocanal 1 mL</t>
  </si>
  <si>
    <t>Pipeta monocanal 10 mL</t>
  </si>
  <si>
    <t xml:space="preserve">TUBOS NESSLER </t>
  </si>
  <si>
    <t xml:space="preserve">BASE DE TUBOS NESSLER  </t>
  </si>
  <si>
    <t>Cono de sedimentación Imhoff</t>
  </si>
  <si>
    <t xml:space="preserve">Gradilla para conos Imhoff </t>
  </si>
  <si>
    <t>Resistencia de destilador de agua</t>
  </si>
  <si>
    <t>POLITICA DE GENERO</t>
  </si>
  <si>
    <t>Diplomado en Violencia de Genero</t>
  </si>
  <si>
    <t>Refrigerio pre enpacado</t>
  </si>
  <si>
    <t xml:space="preserve">Almuerzo Tipo Buffet </t>
  </si>
  <si>
    <t>AGUAS POTABLES</t>
  </si>
  <si>
    <t>ELECTRODOS 7018 X 1/8" (CAJA DE 10 LBS)</t>
  </si>
  <si>
    <t>ELECTRODOS E6013 X 1/8" (CAJA DE 10 LBS)</t>
  </si>
  <si>
    <t xml:space="preserve">MOTO-SOLDADORA CON GENERADOR ELECTRICO DIESEL </t>
  </si>
  <si>
    <t>LLAVES COMBINADAS 12 MM</t>
  </si>
  <si>
    <t>LLAVES COMBINADAS 13 MM</t>
  </si>
  <si>
    <t>LLAVES COMBINADAS 15 MM</t>
  </si>
  <si>
    <t>LLAVES COMBINADAS 17 MM</t>
  </si>
  <si>
    <t>LLAVES COMBINADAS 19 MM</t>
  </si>
  <si>
    <t>LLAVES COMBINADAS 21 MM</t>
  </si>
  <si>
    <t>LLAVES COMBINADAS 22 MM</t>
  </si>
  <si>
    <t>LLAVES COMBINADAS 24 MM</t>
  </si>
  <si>
    <t>LLAVES COMBINADAS 25 MM</t>
  </si>
  <si>
    <t>LLAVES COMBINADAS 27 MM</t>
  </si>
  <si>
    <t>LLAVES COMBINADAS 28 MM</t>
  </si>
  <si>
    <t>LLAVES COMBINADAS 30 MM</t>
  </si>
  <si>
    <t>LLAVES COMBINADAS 32 MM</t>
  </si>
  <si>
    <t>ALICATE DE PRESIÓN</t>
  </si>
  <si>
    <t>JUEGO DE ALICATE ELECTRICO</t>
  </si>
  <si>
    <t>ALICATE DE EXTENSION</t>
  </si>
  <si>
    <t>JUEGO DE LLAVE ALLEN (30 PIEZAS)</t>
  </si>
  <si>
    <t>ESPATULAS DE METAL A=8"</t>
  </si>
  <si>
    <t>PALOMETA DOBLE PARA MALLA CICLONICA</t>
  </si>
  <si>
    <t>Tola lisa de 4' * 8' e=1/4</t>
  </si>
  <si>
    <t>Tola lisa de 4' * 8' e=1/2</t>
  </si>
  <si>
    <t>Tola lisa de 4' * 8' e=3/8</t>
  </si>
  <si>
    <t xml:space="preserve">VIGA H 4”X 4” X 30’ (13 LIBS/PIE) </t>
  </si>
  <si>
    <t xml:space="preserve">VIGA H 8”X 4” X 30’ (13 LIBS/PIE) </t>
  </si>
  <si>
    <t>Escalera telescopica de Fibra de Vidrio 24 pies</t>
  </si>
  <si>
    <t>ESCALERA TIPO TIJERA, L=10PIES</t>
  </si>
  <si>
    <t>DISCO DE CORTE 7" EXTRAFINO ONDULADO</t>
  </si>
  <si>
    <t>DISCO DE PULIR 7 1/2"</t>
  </si>
  <si>
    <t>PINTURA ESMALTE INDUSTRIAL GRIS MATE (GALONES)</t>
  </si>
  <si>
    <t>TUBERIAS PVC SDR-26 L=19' Ø4"</t>
  </si>
  <si>
    <t>TUBOS DE ACERO  E=3/8" Ø24"</t>
  </si>
  <si>
    <t>TUBO HG Ø1-1/2"</t>
  </si>
  <si>
    <t>TUBO HG Ø2"</t>
  </si>
  <si>
    <t>LAMPARAS TIPO COBRA LUZ AMARILLA</t>
  </si>
  <si>
    <t>ADAPTADORES HEMBRA  SCH-80 Ø1"</t>
  </si>
  <si>
    <t>ADAPTADORES HEMBRA CH-80 Ø1-1/2"</t>
  </si>
  <si>
    <t>ADAPTADORES MACHO  SCH-80 Ø1"</t>
  </si>
  <si>
    <t>ADAPTADORES MACHO  SCH-80 Ø1-1/2"</t>
  </si>
  <si>
    <t>CHECK HORIZONTAL  Ø1"</t>
  </si>
  <si>
    <t>CHECK HORIZONTAL Ø3/4"</t>
  </si>
  <si>
    <t>VALVULA CHECK HORIZONTAL Ø4" 300 PSI EN ACERO</t>
  </si>
  <si>
    <t>VALVULA CHECK HORIZONTAL Ø6" 300 PSI EN ACERO</t>
  </si>
  <si>
    <t>VALVULA CHECK HORIZONTAL Ø8" 300 PSI EN ACERO</t>
  </si>
  <si>
    <t>VALVULA CHECK HORIZONTAL Ø12" 300 PSI EN ACERO</t>
  </si>
  <si>
    <t>VALVULA CHECK HORIZONTAL Ø16" 300 PSI EN ACERO</t>
  </si>
  <si>
    <t>CHECK VERTICAL Ø1"</t>
  </si>
  <si>
    <t>CHECK VERTICAL Ø3/4"</t>
  </si>
  <si>
    <t>CODO  SCH-80  Ø1" X 90°</t>
  </si>
  <si>
    <t>CODO CHECK POLIETILENO Ø2</t>
  </si>
  <si>
    <t xml:space="preserve">CODO HG DE 1" X 90, </t>
  </si>
  <si>
    <t>JUNTAS  TIPO DRESSER 8" ACERO</t>
  </si>
  <si>
    <t>JUNTA DRESSER PARA TUBERIA HD 20" X 18"</t>
  </si>
  <si>
    <t>JUNTA DRESSER PARA TUBERIA HD 24" X 18"</t>
  </si>
  <si>
    <t>JUNTA DRESSER PARA TUBERIA HD 30" X 18"</t>
  </si>
  <si>
    <t>JUNTA DRESSER PARA TUBERIA HD 36" X 18"</t>
  </si>
  <si>
    <t>JUNTAS REDUCTURAS A ASBESTO CEMENTO TIPO B, Ø8"</t>
  </si>
  <si>
    <t>JUNTAS REDUCTURAS A ASBESTO CEMENTO TIPO B, Ø20"</t>
  </si>
  <si>
    <t>JUNTAS REDUCTURAS A ASBESTO CEMENTO TIPO C, Ø8"</t>
  </si>
  <si>
    <t>JUNTAS REDUCTURAS A ASBESTO CEMENTO TIPO C, Ø20"</t>
  </si>
  <si>
    <t>JUNTAS REDUCTURAS A ASBESTO CEMENTO TIPO D, Ø16"</t>
  </si>
  <si>
    <t>JUNTAS REDUCTURAS A ASBESTO CEMENTO TIPO D, Ø20"</t>
  </si>
  <si>
    <t>LLAVE DE BOLA SCH-80  Ø1" X 90°</t>
  </si>
  <si>
    <t>LLAVE DE BOLA SCH-80  Ø1-1/2" X 90°</t>
  </si>
  <si>
    <t xml:space="preserve">MANGUERA P/SUCCION DE AGUA DE 3" </t>
  </si>
  <si>
    <t xml:space="preserve">MANGUERA DE DESCARGA  Ø4  (SEMI PRESION) </t>
  </si>
  <si>
    <t>NIPLES HG Ø1" X 3"</t>
  </si>
  <si>
    <t>NIPLES HG Ø3/4" X 3"</t>
  </si>
  <si>
    <t xml:space="preserve">TEE HG DE 1" </t>
  </si>
  <si>
    <t>VALVULA DE COMPUERTA, PLATILLADA Y CUADRANTE  PARA 150PSI. Ø8", CON SUS DOS NIPLES PLATILLADOS, CON SU JUNTA DE GOMA, TORNILLOS Y TUERCAS</t>
  </si>
  <si>
    <t>VALVULA DE COMPUERTA, PLATILLADA Y CUADRANTE  PARA 150PSI. Ø16", CON SUS DOS NIPLES PLATILLADOS, CON SU JUNTA DE GOMA, TORNILLOS Y TUERCAS</t>
  </si>
  <si>
    <t>VALVULA Ø20" HF TIPO MARIPOSA PARA 300 PSI</t>
  </si>
  <si>
    <t>VALVULA Ø24" HF TIPO MARIPOSA PARA 300 PSI</t>
  </si>
  <si>
    <t>VALVULA Ø36" HF TIPO MARIPOSA PARA 300 PSI</t>
  </si>
  <si>
    <t>AGUAS POTABLES (BM)</t>
  </si>
  <si>
    <t>BOMBA DE ACHIQUE Ø4" CON SUS ACCESORIOS</t>
  </si>
  <si>
    <t>BOMBA INATASCABLE 1 HP MONOFASICA</t>
  </si>
  <si>
    <t>BALANZA DIGITAL PARA CILINDROS DE CLORO DE 150 LBS</t>
  </si>
  <si>
    <t>DETECTOR DE METALES</t>
  </si>
  <si>
    <t>CLORADOR POR SOLUCION DE RANGO 0-25 LIBRAS POR DIA</t>
  </si>
  <si>
    <t>CLORADORES DE 0-25 DIRECTO</t>
  </si>
  <si>
    <t>CLORADOR POR SOLUCION DE RANGO 0-1000 LIBRAS POR DIA</t>
  </si>
  <si>
    <t>POLIMERO NO IONICOS</t>
  </si>
  <si>
    <t>TANQUES</t>
  </si>
  <si>
    <t>SERVICIO MANTENIMIENTO Y LIMPIEZA DE POZOS CON TRATAMIENTO QUIMICO (PREVENTIVO)</t>
  </si>
  <si>
    <t>AGUAS RESIDUALES (BM)</t>
  </si>
  <si>
    <t>ESPATULAS DE METAL</t>
  </si>
  <si>
    <t>FUNDAS NEGRAS 5 GALONES (100/1)</t>
  </si>
  <si>
    <t>DIPLOMADO EN GESTION DE PROYECTOS</t>
  </si>
  <si>
    <t>CREANDO UNA EXPERIENCIA DE SERVICIO EXTRAORDINARIA</t>
  </si>
  <si>
    <t>DIPLOMADO EN LIDERAZGO Y SUPERVISION DE ALTO RENDIMIENTO</t>
  </si>
  <si>
    <t>DISEÑANDO EXPERIENCIAS DE SERVICIO EXTRAORDINARIAS</t>
  </si>
  <si>
    <t>GESTION DE EQUIPOS DE ALTO IMPACTO</t>
  </si>
  <si>
    <t>ESTRATEGIAS AVANZADAS DE MARKETING DIGITAL</t>
  </si>
  <si>
    <t>GESTION INNOVADORA DE LA RELACION CON LOS CLIENTES</t>
  </si>
  <si>
    <t>MOTIVACION DE EQUIPOS EN ENTORNOS RETADORES</t>
  </si>
  <si>
    <t>EL LIDER QUE COMUNICA</t>
  </si>
  <si>
    <t>GESTION DE RIESGOS</t>
  </si>
  <si>
    <t>WORKSHOP INTELIGENCIA EMOCIONAL</t>
  </si>
  <si>
    <t>MANEJO EFECTIVO DEL TIEMPO</t>
  </si>
  <si>
    <t>MAESTRIA EN DERECHO CIVIL Y PROCEDIMIENTO CIVIL</t>
  </si>
  <si>
    <t>Desarrollo de Competencias Directivas en el Estado - Parte 2</t>
  </si>
  <si>
    <t>Programa de Alto Potencial Directivo - PAP</t>
  </si>
  <si>
    <t>Programa para Directores de Gestion Humana del Sector Publico</t>
  </si>
  <si>
    <t>Desarrollo de Gestion de Proyectos enfocados en Unidad de Compras en caloboracion con la DGCP</t>
  </si>
  <si>
    <t>Programa de Liderazgo para la Gestion Publica - PLGP</t>
  </si>
  <si>
    <t>IA aplicada a Capital Humano</t>
  </si>
  <si>
    <t>Workshop de Protocolo Ceremonial de Estado, Empresarial, Social y Relaciones Públicas</t>
  </si>
  <si>
    <t>Congreso de Gestion Humana Adoarh</t>
  </si>
  <si>
    <t>Ética Gubernamental y Rendición de Cuentas</t>
  </si>
  <si>
    <t>Panorama de la Administración Publica</t>
  </si>
  <si>
    <t>RRHH</t>
  </si>
  <si>
    <t>Vitamina C 500 mg/5 ml ampolla</t>
  </si>
  <si>
    <t xml:space="preserve">Paracetamol 10 mg / 100 ml  solucion </t>
  </si>
  <si>
    <t>Clonixinato de Lisina 125 mg/propinox clorhidrato 10 mg</t>
  </si>
  <si>
    <t>Furosemida ampolla 20 mg</t>
  </si>
  <si>
    <t>Diclofenac sodico  ampolla 75 mg</t>
  </si>
  <si>
    <t>Bunesonide 0.5 mg /2 ml ampolla</t>
  </si>
  <si>
    <t>Dexametazona 8 mg/2 ml ampolla</t>
  </si>
  <si>
    <t>Omeprazol Sodico 40 mg ampolla</t>
  </si>
  <si>
    <t>Banditas adhesivas</t>
  </si>
  <si>
    <t>Monitor signos vitales</t>
  </si>
  <si>
    <t>Pie de suero</t>
  </si>
  <si>
    <t>Zafacon Bio-seguridad (Guardian)</t>
  </si>
  <si>
    <t>Fundas de deshechos</t>
  </si>
  <si>
    <t>Bajante de suero</t>
  </si>
  <si>
    <t xml:space="preserve"> Bromuro de Ipatropio 0.5 mg /2.5 mg 2.5 ml</t>
  </si>
  <si>
    <t>Sulfato de Plata crema</t>
  </si>
  <si>
    <t>Cateter # 22</t>
  </si>
  <si>
    <t>Cateter # 20</t>
  </si>
  <si>
    <t>Cateter # 24</t>
  </si>
  <si>
    <t>Jer insulina 1 ml</t>
  </si>
  <si>
    <t>Gel Lubricante Tubo 120 Gramos</t>
  </si>
  <si>
    <t>Papel EKG</t>
  </si>
  <si>
    <t>Glucometro</t>
  </si>
  <si>
    <t>Dolo-neurobión ampolla</t>
  </si>
  <si>
    <t>ROLLO</t>
  </si>
  <si>
    <t>PAQUETE</t>
  </si>
  <si>
    <t>LICENCIA CHATGPT PRO</t>
  </si>
  <si>
    <t>ARCHIVOS DE 4 GAVETAS</t>
  </si>
  <si>
    <t>MAQUINA SUMADORA</t>
  </si>
  <si>
    <t>ESCALERA</t>
  </si>
  <si>
    <t>FOLDERS CON SOLAPAS LOGO INAPA</t>
  </si>
  <si>
    <t>KIT PROMOCIONAL DE INDUCCION</t>
  </si>
  <si>
    <t>801419 - Reuniones y eventos</t>
  </si>
  <si>
    <t>Gymnasio</t>
  </si>
  <si>
    <t>Actividades</t>
  </si>
  <si>
    <t>PROTOCOLO</t>
  </si>
  <si>
    <t>EVENTOS GENERALES Y FESTIVIDADES (Actividad de San Valentin)</t>
  </si>
  <si>
    <t>EVENTOS GENERALES Y FESTIVIDADES</t>
  </si>
  <si>
    <t>Director Ejecutivo</t>
  </si>
  <si>
    <t>AGUAS POTABLES (143K) / AGUAS RESIDUALES (750)</t>
  </si>
  <si>
    <t>COMERCIAL (1) / AGUAS RESIDUALES (BM) (2)</t>
  </si>
  <si>
    <t>Equipo multifuncional serie profesional  multibandejas, 11x17 láser a color, toners de alto rendimiento, reacondicionado con 1 año de garantía</t>
  </si>
  <si>
    <t>1112 -Productos No Comestibles de Planta y Silvicultura</t>
  </si>
  <si>
    <t>4319 - Dispositivos de comunicaciones y accesorios</t>
  </si>
  <si>
    <t>5215 - Utensilios de cocina domésticos</t>
  </si>
  <si>
    <t>Total por incrementar</t>
  </si>
  <si>
    <t xml:space="preserve"> AGUAS RESIDUALES (3) (BM)/ 2T: (10) AGUAS POTABLES, (2) AGUAS RESIDUALES</t>
  </si>
  <si>
    <t xml:space="preserve"> AGUAS RESIDUALES (2) (BM)/ 2T: (10) AGUAS POTABLES + (2) AGUAS RESIDUALES</t>
  </si>
  <si>
    <t>AGUAS RESIDUALES (BM) (2) / 2T: ADMINISTRATIVO (20) /  AGUAS POTABLES (50)</t>
  </si>
  <si>
    <t>Termometro Digital</t>
  </si>
  <si>
    <t>SIILAS DE LABORATORIO</t>
  </si>
  <si>
    <t>DIF CALIDAD DEL AGUA</t>
  </si>
  <si>
    <t>← Monto Original</t>
  </si>
  <si>
    <t>141117 - Productos de papel para uso personal</t>
  </si>
  <si>
    <t>BANDEJA DE ESCRITORIO</t>
  </si>
  <si>
    <t>PORTA REVISTA VERTICAL</t>
  </si>
  <si>
    <t>RECONSTRUCCIÓN TRAMO DE LÍNEA MATRIZ Ø16" PVC (SDR-26), ACUEDUCTO DE BARAHONA</t>
  </si>
  <si>
    <t>AMPLIACIÓN ALCANTARILLADO SANITARIO HATO MAYOR, SECTORES GUALEY, PUNTA GARZA Y PUERTO RICO, PROVINCIA HATO MAYOR</t>
  </si>
  <si>
    <t>AMPLIACIÓN ACUEDUCTO SABANETA DESDE LA PRESA DE GUAYUBÍN</t>
  </si>
  <si>
    <t>AMPLIACION ACUEDUCTO JUAN DOLIO-GUAYACANES</t>
  </si>
  <si>
    <t>CONSTRUCCION ALCANTARILLADO PLUVIAL BONAO</t>
  </si>
  <si>
    <t>AMPLIACIÓN ACUEDUCTO NAVARRETE (COMUNIDADES: EL LIMÓN, MEJÍA, CANDELONES, VILLA TABACALERA, PONTÓN, CRUCE DE BARRERO )</t>
  </si>
  <si>
    <t>AMPLIACIÓN DE REDES DE DISTRIBUCIÓN ZONA ALTA, AC. NEIBA</t>
  </si>
  <si>
    <t>MEJORAMIENTO Y AMPLIACION AC. LA DESCUBIERTA</t>
  </si>
  <si>
    <t>CONSTRUCCION ALCANTARILLADO SANITARIO LAS GALERAS</t>
  </si>
  <si>
    <t>AMPLIACIÓN ACUEDUCTO EL CERCADO</t>
  </si>
  <si>
    <t>AMPLIACIÓN DE ACUEDUCTO MUNICIPIO SAN PEDRO DE MACORÍS</t>
  </si>
  <si>
    <t>AMPLIACIÓN ACUEDUCTO JANICO, SANTIAGO</t>
  </si>
  <si>
    <t>CONSTRUCCIÓN ALCANTARILLADO SANITARIO DE GUAYUBIN</t>
  </si>
  <si>
    <t>AMPLIACION ALCANTARILLADO SANITARIO SABANA DE LA MAR</t>
  </si>
  <si>
    <t>AMPLIACION ACUEDUCTO MULTIPLE BLANCO-LA CEIBA-JAYACO</t>
  </si>
  <si>
    <t>AMPLIACIÓN AC. MÚLTIPLE DON JUAN-LOS CERROS</t>
  </si>
  <si>
    <t>AMPLIACIÓN ACUEDUCTO BAYAGUANA</t>
  </si>
  <si>
    <t>CONSTRUCCION ACUEDUCTO VILLA CERRO-ANAMUYA, HIGUEY</t>
  </si>
  <si>
    <t>AMPLIACION ACUEDUCTO VILLA ALTAGRACIA</t>
  </si>
  <si>
    <t>AMPLIACIÓN ACUEDUCTO LA CUCHILLA</t>
  </si>
  <si>
    <t>AMPLIACION ACUEDUCTO YAGUATE</t>
  </si>
  <si>
    <t>CONTRUCCION ACUEDUCTO DE EL PUERTO</t>
  </si>
  <si>
    <t>REHABILITACION PLANTA DE TRATAMIENTO DE AGUAS RESIDUALES CAPACIDAD 160 LPS, MUNICIPIO SALCEDO</t>
  </si>
  <si>
    <t>CONSTRUCCION NUEVA OBRA DE TOMA Y LINEA DE ADUCCION ACUEDUCTO BONAO</t>
  </si>
  <si>
    <t>MEJORAMIENTO CAÑADA SIMON BOLIVAR-LAVAPIES</t>
  </si>
  <si>
    <t>CONSTRUCCION MURO DE CONTENCION KM. 18</t>
  </si>
  <si>
    <t>SANEAMIENTO CAÑADA SAN MARTIN, 5 DE MAYO, LOS CANGREJOS Y LOS PLATANITOS, QUITA SUEÑO</t>
  </si>
  <si>
    <t>AMPLIACION ACUEDUCTO EL CARRETON-SABANA LARGA-EL PINO</t>
  </si>
  <si>
    <t>AMPLIACION ACUEDUCTO MULTIPLE LAS TERRENAS</t>
  </si>
  <si>
    <t>RECONSTRUCCION ALCANTARILLADO SANITARIO MONTECRISTI</t>
  </si>
  <si>
    <t>DIRECCION</t>
  </si>
  <si>
    <t>MONTO</t>
  </si>
  <si>
    <t>D. Administrativo</t>
  </si>
  <si>
    <t>Calidad del Agua</t>
  </si>
  <si>
    <t>Comercial</t>
  </si>
  <si>
    <t>Comunicaciones</t>
  </si>
  <si>
    <t>Combustible</t>
  </si>
  <si>
    <t>Aguas Potables (Sustancias Químicas)</t>
  </si>
  <si>
    <t>Alambre de pua 250mts</t>
  </si>
  <si>
    <t>tubo BM</t>
  </si>
  <si>
    <t xml:space="preserve">Tubo  </t>
  </si>
  <si>
    <t>4014 BM</t>
  </si>
  <si>
    <t>Gastos corrientes</t>
  </si>
  <si>
    <t>Banco Mundial</t>
  </si>
  <si>
    <t>AGUAS RESIDUALES + (10) ADMINISTRATIVO/ 3T:  AGUAS RESIDUALES (BM)</t>
  </si>
  <si>
    <t>COMERCIAL/3T COMERCIAL BM</t>
  </si>
  <si>
    <t>ADMINISTRATIVO (BM)/ (1) CALIDAD DEL AGUA (BM)</t>
  </si>
  <si>
    <t>ADMINISTRATIVO (BM)/ (2)CALIDAD DEL AGUA BM</t>
  </si>
  <si>
    <t>AGUAS POTABLES+ AGUAS RESIDUALES (10)</t>
  </si>
  <si>
    <t>ADMINISTRATIVO (100) + AGUAS RESIDUALES (10) + AGUAS POTABLES (250)</t>
  </si>
  <si>
    <t>ADMINISTRATIVO (200) + AGUAS RESIDUALES (5)</t>
  </si>
  <si>
    <t>AGUAS POTABLES (100) + AGUAS RESIDUALES (10)</t>
  </si>
  <si>
    <t>ADAPTADORES HEMBRA DE 3 PVC</t>
  </si>
  <si>
    <t>ELECTROBOMBAS SUMERGIBLE 7.5HP</t>
  </si>
  <si>
    <t>BOMBA DE TURBINA VERTICAL 550/760, 3500 rpm</t>
  </si>
  <si>
    <t>BOMBA DE TURBINA VERTICAL 270/1000, 3500 rpm</t>
  </si>
  <si>
    <t>BOMBA DE TURBINA VERTICAL 1500/500</t>
  </si>
  <si>
    <t>BOMBA DE TURBINA VERTICAL 170/470  3500 RPM</t>
  </si>
  <si>
    <t>BOMBA DE TURBINA VERTICAL 150/400  3500 RPM</t>
  </si>
  <si>
    <t>BOMBA DE TURBINA VERTICAL 550/875</t>
  </si>
  <si>
    <t>BOMBA DE TURBINA VERTICAL 300/360</t>
  </si>
  <si>
    <t>BOMBA DE TURBINA VERTICAL 230/200, 3500 RPM</t>
  </si>
  <si>
    <t>COMPARADOR DIGITAL DE CLORO RESIDUAL LIBRE</t>
  </si>
  <si>
    <t>CALIDAD DEL AGUA (BM)/3T CALIDAD DEL AGUA</t>
  </si>
  <si>
    <t>CALIDAD DEL AGUA (BM)/ 3T: CALIDAD DEL AGUA</t>
  </si>
  <si>
    <t>CALIDAD DEL AGUA (BM)/CALIDAD DEL AGUA</t>
  </si>
  <si>
    <t>AGUAS POTABLES (BM)/ 3T: AGUAS RESIDUALES</t>
  </si>
  <si>
    <t>AGUAS RESIDUALES (BM)/ 3T: AGUAS RESIDUALES + ADMINISTRATIVO (2)</t>
  </si>
  <si>
    <t>AGUAS POTABLES (BM)/ 3T: CALIDAD DEL AGUA</t>
  </si>
  <si>
    <t>AGUAS POTABLES (BM)/ 3T: CALIDAD DEL AGUA (20) +AGUAS RESIDUALES (5)</t>
  </si>
  <si>
    <t>AGUAS POTABLES (BM)/AGUAS RESIDUALES</t>
  </si>
  <si>
    <t>AGUAS RESIDUALES (BM)+ CALIDAD DEL AGUA BM (300)/ 3T: CALIDAD DEL AGUA + ADMINISTRATIVO (2)</t>
  </si>
  <si>
    <t>ADMINISTRATIVO / AGUAS RESIDUALES (BM) (20) / ADM</t>
  </si>
  <si>
    <t>ADMINISTRATIVO/ AGUAS RESIDUALES (BM) (20) / ADM</t>
  </si>
  <si>
    <t>POLITICA DE GENERO (20) + AGUAS RESIDUALES (40)</t>
  </si>
  <si>
    <t>MANTENIMIENTO ANUAL DE LA  ACREDITACION</t>
  </si>
  <si>
    <t>POLITICA DE GENERO (150) /PROTOCOLO</t>
  </si>
  <si>
    <t>DIFERENCIA</t>
  </si>
  <si>
    <t>TOTAL SIN OBRAS</t>
  </si>
  <si>
    <t>(2) AGUAS RESIDUALES/ + AGUAS POTABLES</t>
  </si>
  <si>
    <t>(2) AGUAS RESIDUALES + AGUAS POTABLES</t>
  </si>
  <si>
    <t>AGUAS RESIDUALES (2) + AGUAS POTABLES</t>
  </si>
  <si>
    <t>AGUAS RESIDUALES+AGUAS POTABLES (100)</t>
  </si>
  <si>
    <t>AGUAS POTABLES+ (5) ADMINISTRATIVO</t>
  </si>
  <si>
    <t>COMERCIAL (BM) (18) / CALIDAD DEL AGUA (BM) (25) / 3T: COMERCIAL</t>
  </si>
  <si>
    <t xml:space="preserve">COMERCIAL(120) + AGUAS POTABLES (800) / 3T COMERCIAL BM </t>
  </si>
  <si>
    <t>AGUAS RESIDUALES (BM)/ 2T: AGUAS RESIDUALES</t>
  </si>
  <si>
    <t>ELECTROMECANICA (BM)+ AGUAS RESIDUALES BM (2)/ 2T: ELECTROMECANICA + AGUAS RESIDUALES (5)</t>
  </si>
  <si>
    <t>AMPLIACIÓN DE LAS REDES DE DISTRIBUCIÓN DEL ACUEDUCTO PUEBLO VIEJO A LOS SECTORES EL ABANICO, ENRIQUILLO Y EL AMOR, MUNICIPIO AZUA. SNIP 16880</t>
  </si>
  <si>
    <t>AMPLIACIÓN ACUEDUCTO ALINO (SECTORES LA COTANERA Y LA GUAJACA),PROVINCIA MONTECRISTI. SNIP 17042</t>
  </si>
  <si>
    <t>AMPLIACIÓN ACUEDUCTO DE LA LÍNEA NOROESTE (ALINO), SECTORES LOS MOLINOS, LOS CAPELLÁN Y EL CAYITO, D.M. HATILLO PALMA, MUNICIPIO GUAYUBIN, MONTECRISTI. SNIP 17079</t>
  </si>
  <si>
    <t>AMPLIACION OBRA DE TOMA DEL ACUEDUCTO DE MONTE PLATA. SNIP 16850</t>
  </si>
  <si>
    <t>AMPLIACION ACUEDUCTO AZUA, SECTORES LOS TOROS, SAN ISIDRO, BUENOS AIRES Y QUISQUEYA. SNIP 16854</t>
  </si>
  <si>
    <t>TUBO GALVANIZADO PARA MALLA 1 1/2" X 20' HG Ø1-1/2"</t>
  </si>
  <si>
    <t xml:space="preserve">AGUAS POTABLES (BM) / AGUAS POTABLES </t>
  </si>
  <si>
    <t>JUNTAS  TIPO DRESSER 16" ACERO</t>
  </si>
  <si>
    <t>INVERSORES PARA LOCALIDADES REMOTAS DEL INAPA</t>
  </si>
  <si>
    <t>CONSUMIBLE IMPRESORA MÓVIL</t>
  </si>
  <si>
    <t>PLOTTER CON ESCANER</t>
  </si>
  <si>
    <t>LAPTOPS</t>
  </si>
  <si>
    <t>LAPTOPS ARM</t>
  </si>
  <si>
    <t>ADQUISICION DE MEGAFONOS SIP</t>
  </si>
  <si>
    <t>ADQUISICIÓN DE SENSORES INTELIGENTES IoT PARA DETECCIÓN DE EVENTOS DE
SEGURIDAD Y CALIDAD DEL AIRE</t>
  </si>
  <si>
    <t>PANTALLA TIPO 1 (TOTEM) PARA DIFUSIÓN DE CONTENIDO DIGITAL</t>
  </si>
  <si>
    <t>Pantalla Tipo 2 (Monitor 32") para difusion de contenido digital</t>
  </si>
  <si>
    <t>Pantalla Tipo 3 (TV Android 55") para difusion de contenido digital</t>
  </si>
  <si>
    <t>CONTRATACIÓN DE SERVICIO DE CONSULTORIA PARA ATENCIÓN AL USUARIO</t>
  </si>
  <si>
    <t>CONTRATACIÓN DE SERVICIO DE CONSULTORIA DE BASE DE DATOS</t>
  </si>
  <si>
    <t>SERVICIO DE ORGANIZACION CABLEADO EN LOS IDF DE LOS CUATRO PISOS</t>
  </si>
  <si>
    <t>Servicio de desarrollo aplicación para medición del Indice de Potabilidad para la Dirección de Calidad de Agua</t>
  </si>
  <si>
    <t>Adquisición de plataforma de gestión de turnos</t>
  </si>
  <si>
    <t>Adquisición Contrato de Servicio de Instalación de Equipos Energéticos.</t>
  </si>
  <si>
    <t>Servicio de Licenciamiento Cloud para Video Vigilancia</t>
  </si>
  <si>
    <t xml:space="preserve">Servicio de Desarrollo de Sistema Informático Institucional (Automatización de las diferentes
direcciones) </t>
  </si>
  <si>
    <t>ADMINISTRATIVO+AGUAS POTABLES (1220)</t>
  </si>
  <si>
    <t>ADMINISTRATIVO (100) + AGUAS RESIDUALES (10) + AGUAS POTABLES (250)/ AGUAS RESIDUALES (BM)</t>
  </si>
  <si>
    <t>AGUAS POTABLES (BM) + AGUAS RESIDUALES BM (2)/ 3T: AGUAS RESIDUALES + AGUAS POTABLES (10)</t>
  </si>
  <si>
    <t>AGUAS POTABLES (BM) + AGUAS RESIDUALES BM (2) / 3T: AGUAS RESIDUALES + AGUAS POTABLES (50)</t>
  </si>
  <si>
    <t>AGUAS POTABLES (BM)+ AGUAS RESIDUALES BM (8) + CALIDAD DEL AGUA BM (20)/ 3T AGUAS POTABLES</t>
  </si>
  <si>
    <t>AGUAS POTABLES (BM) + CALIDAD DEL AGUA BM (1)/ 3T: AGUAS POTABLES</t>
  </si>
  <si>
    <t>AGUAS POTABLES (BM) + CALIDAD DEL AGUA BM (5)/3T: AGUAS POTABLES</t>
  </si>
  <si>
    <t>CALIDAD DEL AGUA/ COMERCIAL (BM)</t>
  </si>
  <si>
    <t>COMERCIAL (BM) + AGUAS RESIDUALES (BM) (2)</t>
  </si>
  <si>
    <t>ADMINISTRATIVO/ AGUAS RESIDUALES (BM) (10)</t>
  </si>
  <si>
    <t>LIQUIDO DE FRENOS (CAJAS DE 24/1)</t>
  </si>
  <si>
    <t>ACEITE HIDRAULICO</t>
  </si>
  <si>
    <t>ACEITE DE MOTOR 15W40</t>
  </si>
  <si>
    <t>PENETRANTE (CAJAS DE 12/1)</t>
  </si>
  <si>
    <t xml:space="preserve">NEUMATICOS CAMION 700-R16  </t>
  </si>
  <si>
    <t xml:space="preserve">NEUMATICO 265/70/R17 </t>
  </si>
  <si>
    <t xml:space="preserve">NEUMATICO 245/70R16 </t>
  </si>
  <si>
    <t xml:space="preserve">NEUMATICO 245/70R15 </t>
  </si>
  <si>
    <t>NEUMÁTICOS 245/70R/17</t>
  </si>
  <si>
    <t>NEUMATICO 265/60R18</t>
  </si>
  <si>
    <t>NEUMATICO 12R/22.5</t>
  </si>
  <si>
    <t xml:space="preserve">NEUMATICO 11R22.5 </t>
  </si>
  <si>
    <t>NEUMATICO 750 R16</t>
  </si>
  <si>
    <t>NEUMATICO 700 R15</t>
  </si>
  <si>
    <t>NEUMATICO 215/70 R16</t>
  </si>
  <si>
    <t>NEUMATICO 195 R14</t>
  </si>
  <si>
    <t>Torres de soporte de dos toneladas</t>
  </si>
  <si>
    <t>Yiyar de 5 Toneladas con Tripode de soporte</t>
  </si>
  <si>
    <t>Cama de Taller</t>
  </si>
  <si>
    <t>Jumper para Baterias Portátil (encendido de Auto)</t>
  </si>
  <si>
    <t>Cargador de Baterias (estacionario)</t>
  </si>
  <si>
    <t>Escaner para Autos (última generación)</t>
  </si>
  <si>
    <t>Gato Hidráulico 3 Toneladas</t>
  </si>
  <si>
    <t>Gato Rana 3 Toneladas</t>
  </si>
  <si>
    <t>Bomba infladora de neumáticos (portátil)</t>
  </si>
  <si>
    <t>Caja de herramientas completa</t>
  </si>
  <si>
    <t>Pistola de Impacto Neumática 1/2</t>
  </si>
  <si>
    <t>Pistola de Impacto Electrica 1/2</t>
  </si>
  <si>
    <t>Taladro recargable 1/2 (portátil)</t>
  </si>
  <si>
    <t>Baterías con Cabezote 15/12</t>
  </si>
  <si>
    <t>Baterías con Cabezote 17/12</t>
  </si>
  <si>
    <t>Baterías con Cabezote 21/12</t>
  </si>
  <si>
    <t>Baterías de tornillo 17/12</t>
  </si>
  <si>
    <t>Disco de Clutch Toyota Hi-Lux 2010-2015</t>
  </si>
  <si>
    <t>Plato de Clutch Toyota Hi-Lux 2010-2015</t>
  </si>
  <si>
    <t>Collarín de Clutch Toyota Hi-Lux 2010-2015</t>
  </si>
  <si>
    <t>Disco de Clutch Toyota Hi-Lux 2020</t>
  </si>
  <si>
    <t>Plato de Clutch Toyota Hi-Lux 2020</t>
  </si>
  <si>
    <t>Collarín de Clutch Toyota Hi-Lux 2020</t>
  </si>
  <si>
    <t>Disco de Clutch Nissan Frontier 2015</t>
  </si>
  <si>
    <t>Plato de Clutch Nissan Frontier 2015</t>
  </si>
  <si>
    <t>Collarín de Clutch Nissan Frontier 2015</t>
  </si>
  <si>
    <t>Bandas de Freno delantera Toyota Hi-Lux 2010-2015</t>
  </si>
  <si>
    <t>Bandas de Freno delantera Toyota Hi-Lux 2020</t>
  </si>
  <si>
    <t>Bandas de Freno delantera Nissan Frontier 2015</t>
  </si>
  <si>
    <t>Filtro de Aceite (Nissan Frontier 2015-2021)</t>
  </si>
  <si>
    <t>Filtro de Aire(Nissan Frontier 2021)</t>
  </si>
  <si>
    <t>Filtro de Gasoil (Nissan Frontier 2021)</t>
  </si>
  <si>
    <t>Filtro de Cabina (Nissan Frontier 2021)</t>
  </si>
  <si>
    <t>Filtro de Aire (Nissan Frontier 2015)</t>
  </si>
  <si>
    <t>Filtro de Gasoil (Nissan Frontier 2015)</t>
  </si>
  <si>
    <t>Filtro de Trampa de Gasoil (Nissan Frontier 2015)</t>
  </si>
  <si>
    <t>Filtro de Aceite (Toyota Hilux 2010-2020)</t>
  </si>
  <si>
    <t>Filtro de Cabina (Toyota Hilux 2010-2020)</t>
  </si>
  <si>
    <t>Filtro de Gasoil (Toyota Hilux 2010-2015)</t>
  </si>
  <si>
    <t>Filtro de Aire (Toyota Hilux 2010-2015)</t>
  </si>
  <si>
    <t>Filtro de Aire (Toyota Hilux 2020)</t>
  </si>
  <si>
    <t>Filtro de Gasoil (Toyota Hilux 2020)</t>
  </si>
  <si>
    <t>Filtro de Aceite (Isuzu D-Max 2011)</t>
  </si>
  <si>
    <t>Filtro de Aire (Isuzu D-Max 2011)</t>
  </si>
  <si>
    <t>Filtro de Gasoil (Isuzu D-Max 2011)</t>
  </si>
  <si>
    <t>Filtro de Trampa de Gasoil (Isuzu D-Max 2011)</t>
  </si>
  <si>
    <t>Filtro de Aceite Elemento (Ford Ranger 2020)</t>
  </si>
  <si>
    <t>Filtro de Aire (Ford Ranger 2020)</t>
  </si>
  <si>
    <t>Filtro de Cabina (Ford Ranger 2020)</t>
  </si>
  <si>
    <t>Filtro de Gasoil (Ford Ranger 2020)</t>
  </si>
  <si>
    <t>Filtro de Aceite (Mitsubishi L200 2020)</t>
  </si>
  <si>
    <t>Filtro de Aire (Mitsubishi L200 2020)</t>
  </si>
  <si>
    <t>Filtro de Gasoil (Mitsubishi L200 2020)</t>
  </si>
  <si>
    <t>Filtro de Aceite (Daihatsu Delta 2010)</t>
  </si>
  <si>
    <t>Filtro de Aire (Daihatsu Delta 2010)</t>
  </si>
  <si>
    <t>Filtro de Gasoil (Daihatsu Delta 2010)</t>
  </si>
  <si>
    <t>Filtro de Aceitte (Camion Hyundai 2015)</t>
  </si>
  <si>
    <t>Filtro de Aire (Camion Hyundai 2015)</t>
  </si>
  <si>
    <t>Filtro de Gasoil (Camion Hyundai 2015)</t>
  </si>
  <si>
    <t>Filtro de Aceitte (Camion Mitsubishi Fuso 2018)</t>
  </si>
  <si>
    <t>Filtro de Aire (Camion Mitsubishi Fuso 2018)</t>
  </si>
  <si>
    <t>Filtro de Gasoil (Camion Mitsubishi Fuso 2018)</t>
  </si>
  <si>
    <t>Filtro de Gasoil (Monta Carga Hancha 2019)</t>
  </si>
  <si>
    <t>Filtro de Aire  (Monta Carga Hancha 2019)</t>
  </si>
  <si>
    <t>Filtro de Aceite Elemento (Chevrolet Colorado 2020)</t>
  </si>
  <si>
    <t>Filtro de Gasoil (Chevrolet Colorado 2020)</t>
  </si>
  <si>
    <t>Filtro de Cabina (Chevrolet Colorado 2020)</t>
  </si>
  <si>
    <t>Filtro de Aceite Elemento (JAC 2023)</t>
  </si>
  <si>
    <t>Filtro de Aire (JAC 2023)</t>
  </si>
  <si>
    <t>Filtro de Gasoil (JAC 2023)</t>
  </si>
  <si>
    <t>Filtro de Cabina (JAC 2023)</t>
  </si>
  <si>
    <t>SERVICIO DE MANTENIMIENTO PURIFICADOR DE AGUA</t>
  </si>
  <si>
    <t>SERVICIO DE MANTENIMIENTO ASCENSOR DE LA INSTITUCION</t>
  </si>
  <si>
    <t xml:space="preserve">SERVICIO DE JARDINERIA. </t>
  </si>
  <si>
    <t xml:space="preserve">SERVICIO DE TRANSPORTE DE EMPLEADOS NIVEL CENTRAL </t>
  </si>
  <si>
    <t>SERVICIOS DE TALLERES ESPECIALIZADOS VEHICULOS PESADOS</t>
  </si>
  <si>
    <t>SERVICIOS DE TALLERES ESPECIALIZADOS (CKTRANS)</t>
  </si>
  <si>
    <t>SERVICIO DE REPARACION DE VEHICULO LIVIANOS</t>
  </si>
  <si>
    <t>SERVICIOS DE TALLERES ESPECIALIZADOS (LA ANTILLANA)</t>
  </si>
  <si>
    <t>ALQUILER DE LOCAL PALMAR DE OCOA, AZUA</t>
  </si>
  <si>
    <t>ALQUILER DE LOCAL CABRAL, BARAHONA</t>
  </si>
  <si>
    <t>ALQUILER DE LOCAL VICENTE NOBLE, BARAHONA</t>
  </si>
  <si>
    <t>ALQUILER DE LOCAL PARAISO, BARAHONA</t>
  </si>
  <si>
    <t>ALQUILER DE LOCAL LOMA DE CABRERA, DAJABON</t>
  </si>
  <si>
    <t>ALQUILER DE LOCAL DAJABON, DAJABON</t>
  </si>
  <si>
    <t>ALQUILER DE LOCAL RESTAURACION, DAJABON</t>
  </si>
  <si>
    <t>ALQUILER DE LOCAL PARTIDO, DAJABON</t>
  </si>
  <si>
    <t>ALQUILER DE LOCAL PIMENTEL, DUARTE</t>
  </si>
  <si>
    <t>ALQUILER DE LOCAL JIMANI, INDEPENDENCIA</t>
  </si>
  <si>
    <t>ALQUILER DE LOCAL BAVARO, LA ALTAGRACIA</t>
  </si>
  <si>
    <t>ALQUILER DE LOCAL NAGUA, MARIA TRINIDAD SANCHEZ</t>
  </si>
  <si>
    <t>ALQUILER DE LOCAL BAYAGUANA, MONTE PLATA</t>
  </si>
  <si>
    <t>ALQUILER DE LOCAL GUAYUBIN, MONTECRISTI</t>
  </si>
  <si>
    <t>ALQUILER DE LOCAL DON GREGORIO, PERAVIA</t>
  </si>
  <si>
    <t>ALQUILER DE LOCAL BANI, PAYA, PERAVIA</t>
  </si>
  <si>
    <t>ALQUILER DE LOCAL NIZAO, PERAVIA (Segundo Local)</t>
  </si>
  <si>
    <t>ALQUILER DE LOCAL LAS GALERAS, SAMANA</t>
  </si>
  <si>
    <t>ALQUILER DE LOCAL HATILLO, SAN CRISTOBAL</t>
  </si>
  <si>
    <t>ALQUILER DE LOCAL SABANA GRANDE DE PALENQUE, SAN CRISTOBAL</t>
  </si>
  <si>
    <t xml:space="preserve">ALQUILER DE LOCAL YAGUATE, SAN CRISTOBAL </t>
  </si>
  <si>
    <t>ALQUILER DE LOCAL VILLA ALTAGRACIA, SAN JOSE DEL PUERTO, SAN CRISTOBAL</t>
  </si>
  <si>
    <t>ALQUILER DE LOCAL VILLA ALTAGRACIA, SAN CRISTOBAL</t>
  </si>
  <si>
    <t>ALQUILER DE LOCAL SAN  JOSE DE OCOA, SAN JOSE DE OCOA</t>
  </si>
  <si>
    <t>ALQUILER DE LOCAL RANCHO ARRIBA, SAN JOSE DE OCOA</t>
  </si>
  <si>
    <t>ALQUILER DE LOCAL EL CERCADO, SAN JUAN DE LA MAGUANA</t>
  </si>
  <si>
    <t>ALQUILER DE LOCAL COTUI, SANCHEZ RAMIREZ</t>
  </si>
  <si>
    <t>ALQUILER DE LOCAL CEVICOS, SANCHEZ RAMIREZ</t>
  </si>
  <si>
    <t>ALQUILER DE LOCAL SABANA IGLESIA, SANTIAGO</t>
  </si>
  <si>
    <t>ALQUILER DE LOCAL LAGUANA SALADA, VALVERDE</t>
  </si>
  <si>
    <t>ALQUILER DE LOCAL ESPERANZA, JICOME ARRIBA, VALVERDE</t>
  </si>
  <si>
    <t>ALQUILER DE LOCAL LAGUANA SALADA, JAIBON, VALVERDE</t>
  </si>
  <si>
    <t xml:space="preserve"> COMERCIAL (BM) + TIC (17)</t>
  </si>
  <si>
    <t>AGUAS POTABLES (BM) + COMERCIAL BM (56)</t>
  </si>
  <si>
    <t>AGUAS POTABLES (BM) + COMERCIAL (BM) (74)</t>
  </si>
  <si>
    <t>AGUAS POTABLES (BM) + COMERCIAL BM 30</t>
  </si>
  <si>
    <t>AGUAS POTABLES (BM)+ COMERCIAL BM 15</t>
  </si>
  <si>
    <t>AGUAS POTABLES (BM)+ AGUAS RESIDUALES BM 2</t>
  </si>
  <si>
    <t>AGUAS POTABLES (BM) + AGUAS RESIDUALES BM 2</t>
  </si>
  <si>
    <t>COMERCIAL BM</t>
  </si>
  <si>
    <t>AGUAS RESIDUALES (BM)+ ELECTROMECANICA BM</t>
  </si>
  <si>
    <t>ELECTROMECANICA (BM)/  AGUAS RESIDUALES (1)</t>
  </si>
  <si>
    <t>INGENIERIA/ POLITICA DE GESTION AMBIENTAL</t>
  </si>
  <si>
    <t>Auditor Lider Antisoborno, Nomra ISO 37001</t>
  </si>
  <si>
    <t>Interpretacion e implementacion de la norma gestion Compliance según la norma ISO 37301</t>
  </si>
  <si>
    <t>Gestion de riesgos</t>
  </si>
  <si>
    <t>Charla Semana de la Etica</t>
  </si>
  <si>
    <t>Charla Lucha contra la corrupcion</t>
  </si>
  <si>
    <t>Comité de Etica</t>
  </si>
  <si>
    <t>30161600 - Materiales para techos</t>
  </si>
  <si>
    <t>AGUAS POTABLES + ADMINISTRATIVO (50)</t>
  </si>
  <si>
    <t>AGUAS POTABLES + ADMINISTRATIVO (10)</t>
  </si>
  <si>
    <t>AGUAS RESIDUALES (BM) / ADMINISTRATIVO</t>
  </si>
  <si>
    <t>AGUAS POTABLES + ADMINISTRATIVO (100)</t>
  </si>
  <si>
    <t>ESPATULA PLASTICA</t>
  </si>
  <si>
    <t>3016 - Materiales de acabado de interiores</t>
  </si>
  <si>
    <t>Rollos de Licuit tide de 3/4</t>
  </si>
  <si>
    <t>241020 - Disposición en estantes y almacenamiento</t>
  </si>
  <si>
    <t>ELECTROBOMBAS SUMERGIBLE  5HP</t>
  </si>
  <si>
    <t>ELECTROMECANICA BM / AGUAS RESIDUALES (2) + AGUAS POTABLES</t>
  </si>
  <si>
    <t>ELECTROMECANICA (BM)/  AGUAS POTABLES</t>
  </si>
  <si>
    <t>AGUAS POTABLES + AGUAS RESIDUALES (2)</t>
  </si>
  <si>
    <t>AGUAS POTABLES + AGUAS RESIDUALES (1)</t>
  </si>
  <si>
    <t>AGUAS RESIDUALES (BM)+ AGUAS POTABLES (BM)</t>
  </si>
  <si>
    <t>CALIDAD DEL AGUA (BM) / CALIDAD DEL AGUA</t>
  </si>
  <si>
    <t>121419 - No-metales y gases elementales y puros</t>
  </si>
  <si>
    <t>391210 - Equipamiento para distribución y conversión de alimentación</t>
  </si>
  <si>
    <t>COMERCIAL / COMERCIAL (BM)</t>
  </si>
  <si>
    <t>401423 - Accesorios de tubería</t>
  </si>
  <si>
    <t>731521 - Servicios de mantenimiento y reparación de equipo de manufactura</t>
  </si>
  <si>
    <t>411122 - Instrumentos de medida de temperatura y calor</t>
  </si>
  <si>
    <t xml:space="preserve">Recarga electronica del Sistema de pago de peajes (Paso Rapido) </t>
  </si>
  <si>
    <t>AGUAS POTABLES + AGUAS RESIDUALES (100)</t>
  </si>
  <si>
    <t xml:space="preserve">CEMENTO BLANCO (fundas)                                     </t>
  </si>
  <si>
    <t xml:space="preserve">CEMENTO GRIS (fundas)      </t>
  </si>
  <si>
    <t>451215 - Cámaras</t>
  </si>
  <si>
    <t xml:space="preserve">Ploter (nueva generación) de 24" </t>
  </si>
  <si>
    <t>PINTURA ACRILICA AZUL POSITIVO (CUBETA)</t>
  </si>
  <si>
    <t>Tapa de registro optagonal</t>
  </si>
  <si>
    <t>CAMARA FORMATO DIGITAL + LENTE 18.55MM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</si>
</sst>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RD$&quot;#,##0.00"/>
    <numFmt numFmtId="166" formatCode="[$RD$-1C0A]#,##0.00"/>
    <numFmt numFmtId="167" formatCode="&quot;$&quot;#,##0.00"/>
  </numFmts>
  <fonts count="52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 Narrow"/>
      <family val="2"/>
    </font>
    <font>
      <sz val="12"/>
      <name val="Arial Narrow"/>
      <family val="2"/>
    </font>
    <font>
      <sz val="11"/>
      <name val="Calibri"/>
      <family val="2"/>
      <scheme val="minor"/>
    </font>
    <font>
      <b/>
      <sz val="14"/>
      <color theme="1"/>
      <name val="Times New Roman"/>
      <family val="1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  <font>
      <sz val="11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</font>
    <font>
      <sz val="11"/>
      <color theme="1"/>
      <name val="Calibri"/>
      <family val="2"/>
      <scheme val="minor"/>
    </font>
    <font>
      <sz val="12"/>
      <color theme="0" tint="-0.34998626667073579"/>
      <name val="Arial Narrow"/>
      <family val="2"/>
    </font>
    <font>
      <strike/>
      <sz val="12"/>
      <color theme="1"/>
      <name val="Arial Narrow"/>
      <family val="2"/>
    </font>
    <font>
      <strike/>
      <sz val="12"/>
      <color rgb="FFFF0000"/>
      <name val="Arial Narrow"/>
      <family val="2"/>
    </font>
    <font>
      <b/>
      <sz val="11"/>
      <name val="Calibri"/>
      <family val="2"/>
    </font>
    <font>
      <sz val="12"/>
      <color rgb="FF222222"/>
      <name val="Arial Narrow"/>
      <family val="2"/>
    </font>
    <font>
      <sz val="12"/>
      <color rgb="FFFF0000"/>
      <name val="Arial Narrow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color theme="1"/>
      <name val="Arial Narrow"/>
      <family val="2"/>
    </font>
    <font>
      <sz val="16"/>
      <color theme="1"/>
      <name val="Calibri"/>
      <family val="2"/>
      <scheme val="minor"/>
    </font>
    <font>
      <b/>
      <sz val="12"/>
      <color rgb="FFFF0000"/>
      <name val="Arial Narrow"/>
      <family val="2"/>
    </font>
    <font>
      <sz val="12"/>
      <color rgb="FF000000"/>
      <name val="Arial Narrow"/>
      <family val="2"/>
    </font>
    <font>
      <b/>
      <sz val="12"/>
      <color theme="0" tint="-0.34998626667073579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sz val="11"/>
      <color theme="1"/>
      <name val="ArRIAL"/>
    </font>
    <font>
      <sz val="12"/>
      <color theme="1"/>
      <name val="Arial Narrow"/>
      <family val="2"/>
    </font>
    <font>
      <sz val="12"/>
      <color theme="1"/>
      <name val="Arial Narrow"/>
    </font>
    <font>
      <sz val="12"/>
      <name val="Arial Narrow"/>
    </font>
  </fonts>
  <fills count="20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BFBFBF"/>
        <bgColor rgb="FFBFBFBF"/>
      </patternFill>
    </fill>
    <fill>
      <patternFill patternType="solid">
        <fgColor rgb="FFF4B083"/>
        <bgColor rgb="FFF4B083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4B083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EEAF6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43" fontId="19" fillId="0" borderId="0" applyFont="0" applyFill="0" applyBorder="0" applyAlignment="0" applyProtection="0"/>
    <xf numFmtId="0" fontId="12" fillId="0" borderId="4"/>
    <xf numFmtId="43" fontId="12" fillId="0" borderId="4" applyFont="0" applyFill="0" applyBorder="0" applyAlignment="0" applyProtection="0"/>
    <xf numFmtId="0" fontId="11" fillId="0" borderId="4"/>
    <xf numFmtId="0" fontId="29" fillId="0" borderId="4"/>
    <xf numFmtId="0" fontId="10" fillId="0" borderId="4"/>
    <xf numFmtId="0" fontId="10" fillId="0" borderId="4"/>
    <xf numFmtId="9" fontId="10" fillId="0" borderId="4" applyFont="0" applyFill="0" applyBorder="0" applyAlignment="0" applyProtection="0"/>
    <xf numFmtId="44" fontId="10" fillId="0" borderId="4" applyFont="0" applyFill="0" applyBorder="0" applyAlignment="0" applyProtection="0"/>
    <xf numFmtId="0" fontId="29" fillId="0" borderId="4"/>
    <xf numFmtId="0" fontId="29" fillId="0" borderId="4"/>
    <xf numFmtId="0" fontId="29" fillId="0" borderId="4"/>
    <xf numFmtId="0" fontId="29" fillId="0" borderId="4"/>
    <xf numFmtId="0" fontId="29" fillId="0" borderId="4"/>
    <xf numFmtId="0" fontId="29" fillId="0" borderId="4"/>
    <xf numFmtId="0" fontId="29" fillId="0" borderId="4"/>
    <xf numFmtId="0" fontId="9" fillId="0" borderId="4"/>
    <xf numFmtId="44" fontId="9" fillId="0" borderId="4" applyFont="0" applyFill="0" applyBorder="0" applyAlignment="0" applyProtection="0"/>
    <xf numFmtId="0" fontId="36" fillId="0" borderId="4"/>
    <xf numFmtId="9" fontId="36" fillId="0" borderId="4" applyFont="0" applyFill="0" applyBorder="0" applyAlignment="0" applyProtection="0"/>
    <xf numFmtId="0" fontId="4" fillId="0" borderId="4"/>
    <xf numFmtId="43" fontId="4" fillId="0" borderId="4" applyFont="0" applyFill="0" applyBorder="0" applyAlignment="0" applyProtection="0"/>
    <xf numFmtId="0" fontId="4" fillId="0" borderId="4"/>
    <xf numFmtId="43" fontId="4" fillId="0" borderId="4" applyFont="0" applyFill="0" applyBorder="0" applyAlignment="0" applyProtection="0"/>
    <xf numFmtId="0" fontId="4" fillId="0" borderId="4"/>
    <xf numFmtId="0" fontId="4" fillId="0" borderId="4"/>
    <xf numFmtId="0" fontId="4" fillId="0" borderId="4"/>
    <xf numFmtId="0" fontId="4" fillId="0" borderId="4"/>
    <xf numFmtId="9" fontId="4" fillId="0" borderId="4" applyFont="0" applyFill="0" applyBorder="0" applyAlignment="0" applyProtection="0"/>
    <xf numFmtId="44" fontId="4" fillId="0" borderId="4" applyFont="0" applyFill="0" applyBorder="0" applyAlignment="0" applyProtection="0"/>
    <xf numFmtId="0" fontId="4" fillId="0" borderId="4"/>
    <xf numFmtId="0" fontId="4" fillId="0" borderId="4"/>
    <xf numFmtId="0" fontId="4" fillId="0" borderId="4"/>
    <xf numFmtId="0" fontId="4" fillId="0" borderId="4"/>
    <xf numFmtId="0" fontId="4" fillId="0" borderId="4"/>
    <xf numFmtId="0" fontId="4" fillId="0" borderId="4"/>
    <xf numFmtId="0" fontId="4" fillId="0" borderId="4"/>
    <xf numFmtId="0" fontId="4" fillId="0" borderId="4"/>
    <xf numFmtId="44" fontId="4" fillId="0" borderId="4" applyFont="0" applyFill="0" applyBorder="0" applyAlignment="0" applyProtection="0"/>
    <xf numFmtId="0" fontId="4" fillId="0" borderId="4"/>
    <xf numFmtId="9" fontId="4" fillId="0" borderId="4" applyFont="0" applyFill="0" applyBorder="0" applyAlignment="0" applyProtection="0"/>
  </cellStyleXfs>
  <cellXfs count="526">
    <xf numFmtId="0" fontId="0" fillId="0" borderId="0" xfId="0" applyFont="1" applyAlignment="1"/>
    <xf numFmtId="0" fontId="15" fillId="0" borderId="0" xfId="0" applyFont="1"/>
    <xf numFmtId="0" fontId="16" fillId="0" borderId="0" xfId="0" applyFont="1" applyAlignment="1">
      <alignment horizontal="right" vertical="center" wrapText="1"/>
    </xf>
    <xf numFmtId="43" fontId="16" fillId="0" borderId="0" xfId="0" applyNumberFormat="1" applyFont="1" applyAlignment="1">
      <alignment vertical="center" wrapText="1"/>
    </xf>
    <xf numFmtId="14" fontId="16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17" fillId="4" borderId="4" xfId="0" applyFont="1" applyFill="1" applyBorder="1" applyAlignment="1">
      <alignment horizontal="center" vertical="center" wrapText="1"/>
    </xf>
    <xf numFmtId="0" fontId="17" fillId="4" borderId="4" xfId="0" applyFont="1" applyFill="1" applyBorder="1" applyAlignment="1">
      <alignment horizontal="center" vertical="center" textRotation="90" wrapText="1"/>
    </xf>
    <xf numFmtId="166" fontId="17" fillId="0" borderId="0" xfId="0" applyNumberFormat="1" applyFont="1" applyAlignment="1">
      <alignment vertical="center" wrapText="1"/>
    </xf>
    <xf numFmtId="165" fontId="17" fillId="5" borderId="4" xfId="0" applyNumberFormat="1" applyFont="1" applyFill="1" applyBorder="1" applyAlignment="1">
      <alignment vertical="center" wrapText="1"/>
    </xf>
    <xf numFmtId="165" fontId="16" fillId="5" borderId="4" xfId="0" applyNumberFormat="1" applyFont="1" applyFill="1" applyBorder="1" applyAlignment="1">
      <alignment vertical="center" wrapText="1"/>
    </xf>
    <xf numFmtId="164" fontId="16" fillId="5" borderId="4" xfId="0" applyNumberFormat="1" applyFont="1" applyFill="1" applyBorder="1" applyAlignment="1">
      <alignment vertical="center" wrapText="1"/>
    </xf>
    <xf numFmtId="166" fontId="16" fillId="5" borderId="4" xfId="0" applyNumberFormat="1" applyFont="1" applyFill="1" applyBorder="1" applyAlignment="1">
      <alignment vertical="center" wrapText="1"/>
    </xf>
    <xf numFmtId="166" fontId="17" fillId="5" borderId="4" xfId="0" applyNumberFormat="1" applyFont="1" applyFill="1" applyBorder="1" applyAlignment="1">
      <alignment vertical="center" wrapText="1"/>
    </xf>
    <xf numFmtId="0" fontId="17" fillId="0" borderId="0" xfId="0" applyFont="1" applyAlignment="1">
      <alignment vertical="center" wrapText="1"/>
    </xf>
    <xf numFmtId="0" fontId="15" fillId="0" borderId="0" xfId="0" applyFont="1"/>
    <xf numFmtId="0" fontId="16" fillId="0" borderId="0" xfId="0" applyFont="1" applyAlignment="1">
      <alignment vertical="center" wrapText="1"/>
    </xf>
    <xf numFmtId="166" fontId="16" fillId="0" borderId="0" xfId="0" applyNumberFormat="1" applyFont="1" applyAlignment="1">
      <alignment vertical="center" wrapText="1"/>
    </xf>
    <xf numFmtId="0" fontId="0" fillId="0" borderId="0" xfId="0" applyFont="1" applyFill="1" applyAlignment="1"/>
    <xf numFmtId="43" fontId="14" fillId="3" borderId="5" xfId="0" applyNumberFormat="1" applyFont="1" applyFill="1" applyBorder="1" applyAlignment="1">
      <alignment vertical="center" wrapText="1"/>
    </xf>
    <xf numFmtId="0" fontId="0" fillId="0" borderId="4" xfId="0" applyFont="1" applyBorder="1" applyAlignment="1"/>
    <xf numFmtId="0" fontId="15" fillId="0" borderId="4" xfId="0" applyFont="1" applyBorder="1" applyAlignment="1">
      <alignment wrapText="1"/>
    </xf>
    <xf numFmtId="43" fontId="15" fillId="0" borderId="4" xfId="0" applyNumberFormat="1" applyFont="1" applyBorder="1"/>
    <xf numFmtId="0" fontId="14" fillId="2" borderId="5" xfId="0" applyFont="1" applyFill="1" applyBorder="1" applyAlignment="1">
      <alignment horizontal="center" vertical="center" wrapText="1"/>
    </xf>
    <xf numFmtId="43" fontId="14" fillId="2" borderId="5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wrapText="1"/>
    </xf>
    <xf numFmtId="43" fontId="15" fillId="0" borderId="5" xfId="0" applyNumberFormat="1" applyFont="1" applyFill="1" applyBorder="1" applyAlignment="1">
      <alignment vertical="center" wrapText="1"/>
    </xf>
    <xf numFmtId="0" fontId="15" fillId="0" borderId="5" xfId="0" applyFont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0" fillId="0" borderId="0" xfId="0" applyFont="1" applyAlignment="1"/>
    <xf numFmtId="43" fontId="0" fillId="0" borderId="0" xfId="1" applyFont="1" applyAlignment="1"/>
    <xf numFmtId="0" fontId="16" fillId="0" borderId="0" xfId="0" applyFont="1" applyFill="1" applyAlignment="1">
      <alignment vertical="center" wrapText="1"/>
    </xf>
    <xf numFmtId="0" fontId="16" fillId="0" borderId="0" xfId="0" applyFont="1" applyFill="1" applyAlignment="1">
      <alignment horizontal="center" vertical="center" wrapText="1"/>
    </xf>
    <xf numFmtId="165" fontId="16" fillId="0" borderId="0" xfId="0" applyNumberFormat="1" applyFont="1" applyFill="1" applyAlignment="1">
      <alignment vertical="center" wrapText="1"/>
    </xf>
    <xf numFmtId="166" fontId="16" fillId="0" borderId="0" xfId="0" applyNumberFormat="1" applyFont="1" applyFill="1" applyAlignment="1">
      <alignment vertical="center" wrapText="1"/>
    </xf>
    <xf numFmtId="166" fontId="17" fillId="0" borderId="0" xfId="0" applyNumberFormat="1" applyFont="1" applyFill="1" applyAlignment="1">
      <alignment vertical="center" wrapText="1"/>
    </xf>
    <xf numFmtId="0" fontId="22" fillId="0" borderId="0" xfId="0" applyFont="1" applyFill="1" applyAlignment="1">
      <alignment vertical="center" wrapText="1"/>
    </xf>
    <xf numFmtId="0" fontId="22" fillId="0" borderId="0" xfId="0" applyFont="1" applyFill="1" applyAlignment="1">
      <alignment horizontal="center" vertical="center" wrapText="1"/>
    </xf>
    <xf numFmtId="165" fontId="22" fillId="0" borderId="0" xfId="0" applyNumberFormat="1" applyFont="1" applyFill="1" applyAlignment="1">
      <alignment vertical="center" wrapText="1"/>
    </xf>
    <xf numFmtId="166" fontId="22" fillId="0" borderId="0" xfId="0" applyNumberFormat="1" applyFont="1" applyFill="1" applyAlignment="1">
      <alignment vertical="center" wrapText="1"/>
    </xf>
    <xf numFmtId="166" fontId="21" fillId="0" borderId="0" xfId="0" applyNumberFormat="1" applyFont="1" applyFill="1" applyAlignment="1">
      <alignment vertical="center" wrapText="1"/>
    </xf>
    <xf numFmtId="0" fontId="23" fillId="0" borderId="0" xfId="0" applyFont="1" applyFill="1" applyAlignment="1"/>
    <xf numFmtId="0" fontId="21" fillId="4" borderId="4" xfId="0" applyFont="1" applyFill="1" applyBorder="1" applyAlignment="1">
      <alignment horizontal="center" vertical="center" wrapText="1"/>
    </xf>
    <xf numFmtId="165" fontId="22" fillId="0" borderId="0" xfId="0" applyNumberFormat="1" applyFont="1" applyAlignment="1">
      <alignment vertical="center" wrapText="1"/>
    </xf>
    <xf numFmtId="0" fontId="22" fillId="5" borderId="4" xfId="0" applyFont="1" applyFill="1" applyBorder="1" applyAlignment="1">
      <alignment horizontal="center" vertical="center" wrapText="1"/>
    </xf>
    <xf numFmtId="165" fontId="22" fillId="5" borderId="4" xfId="0" applyNumberFormat="1" applyFont="1" applyFill="1" applyBorder="1" applyAlignment="1">
      <alignment vertical="center" wrapText="1"/>
    </xf>
    <xf numFmtId="0" fontId="22" fillId="0" borderId="0" xfId="0" applyFont="1" applyAlignment="1">
      <alignment vertical="center" wrapText="1"/>
    </xf>
    <xf numFmtId="165" fontId="21" fillId="5" borderId="4" xfId="0" applyNumberFormat="1" applyFont="1" applyFill="1" applyBorder="1" applyAlignment="1">
      <alignment vertical="center" wrapText="1"/>
    </xf>
    <xf numFmtId="0" fontId="16" fillId="0" borderId="4" xfId="0" applyFont="1" applyFill="1" applyBorder="1" applyAlignment="1">
      <alignment vertical="center" wrapText="1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165" fontId="21" fillId="7" borderId="0" xfId="0" applyNumberFormat="1" applyFont="1" applyFill="1" applyAlignment="1">
      <alignment vertical="center" wrapText="1"/>
    </xf>
    <xf numFmtId="0" fontId="22" fillId="7" borderId="0" xfId="0" applyFont="1" applyFill="1" applyAlignment="1">
      <alignment vertical="center" wrapText="1"/>
    </xf>
    <xf numFmtId="0" fontId="21" fillId="7" borderId="0" xfId="0" applyFont="1" applyFill="1" applyAlignment="1">
      <alignment vertical="center" wrapText="1"/>
    </xf>
    <xf numFmtId="0" fontId="22" fillId="0" borderId="4" xfId="0" applyFont="1" applyFill="1" applyBorder="1" applyAlignment="1">
      <alignment vertical="center" wrapText="1"/>
    </xf>
    <xf numFmtId="0" fontId="25" fillId="0" borderId="0" xfId="0" applyFont="1" applyAlignment="1"/>
    <xf numFmtId="0" fontId="25" fillId="0" borderId="0" xfId="0" applyFont="1" applyFill="1" applyAlignment="1"/>
    <xf numFmtId="0" fontId="26" fillId="0" borderId="0" xfId="0" applyFont="1"/>
    <xf numFmtId="0" fontId="27" fillId="0" borderId="0" xfId="0" applyFont="1" applyAlignment="1"/>
    <xf numFmtId="0" fontId="27" fillId="0" borderId="0" xfId="0" applyFont="1" applyFill="1" applyAlignment="1"/>
    <xf numFmtId="0" fontId="28" fillId="0" borderId="0" xfId="0" applyFont="1"/>
    <xf numFmtId="43" fontId="23" fillId="0" borderId="0" xfId="1" applyFont="1" applyAlignment="1"/>
    <xf numFmtId="0" fontId="16" fillId="0" borderId="4" xfId="0" applyFont="1" applyFill="1" applyBorder="1" applyAlignment="1">
      <alignment horizontal="center" vertical="center" wrapText="1"/>
    </xf>
    <xf numFmtId="165" fontId="16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164" fontId="16" fillId="0" borderId="0" xfId="0" applyNumberFormat="1" applyFont="1" applyFill="1" applyAlignment="1">
      <alignment horizontal="center" vertical="center" wrapText="1"/>
    </xf>
    <xf numFmtId="0" fontId="17" fillId="8" borderId="4" xfId="0" applyFont="1" applyFill="1" applyBorder="1" applyAlignment="1">
      <alignment vertical="center" wrapText="1"/>
    </xf>
    <xf numFmtId="0" fontId="17" fillId="8" borderId="4" xfId="0" applyFont="1" applyFill="1" applyBorder="1" applyAlignment="1">
      <alignment horizontal="center" vertical="center" wrapText="1"/>
    </xf>
    <xf numFmtId="0" fontId="21" fillId="8" borderId="4" xfId="0" applyFont="1" applyFill="1" applyBorder="1" applyAlignment="1">
      <alignment horizontal="center" vertical="center" wrapText="1"/>
    </xf>
    <xf numFmtId="166" fontId="17" fillId="8" borderId="4" xfId="0" applyNumberFormat="1" applyFont="1" applyFill="1" applyBorder="1" applyAlignment="1">
      <alignment vertical="center" wrapText="1"/>
    </xf>
    <xf numFmtId="0" fontId="0" fillId="0" borderId="0" xfId="0" applyFont="1" applyAlignment="1"/>
    <xf numFmtId="0" fontId="16" fillId="5" borderId="4" xfId="0" applyFont="1" applyFill="1" applyBorder="1" applyAlignment="1">
      <alignment horizontal="center" vertical="center" wrapText="1"/>
    </xf>
    <xf numFmtId="4" fontId="16" fillId="5" borderId="4" xfId="0" applyNumberFormat="1" applyFont="1" applyFill="1" applyBorder="1" applyAlignment="1">
      <alignment horizontal="center" vertical="center" wrapText="1"/>
    </xf>
    <xf numFmtId="4" fontId="16" fillId="0" borderId="0" xfId="0" applyNumberFormat="1" applyFont="1" applyFill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165" fontId="22" fillId="0" borderId="4" xfId="0" applyNumberFormat="1" applyFont="1" applyFill="1" applyBorder="1" applyAlignment="1">
      <alignment vertical="center" wrapText="1"/>
    </xf>
    <xf numFmtId="0" fontId="17" fillId="7" borderId="0" xfId="0" applyFont="1" applyFill="1" applyAlignment="1">
      <alignment vertical="center" wrapText="1"/>
    </xf>
    <xf numFmtId="0" fontId="17" fillId="0" borderId="0" xfId="0" applyFont="1" applyFill="1" applyAlignment="1">
      <alignment vertical="center"/>
    </xf>
    <xf numFmtId="0" fontId="21" fillId="7" borderId="4" xfId="0" applyFont="1" applyFill="1" applyBorder="1" applyAlignment="1">
      <alignment vertical="center" wrapText="1"/>
    </xf>
    <xf numFmtId="165" fontId="21" fillId="7" borderId="4" xfId="0" applyNumberFormat="1" applyFont="1" applyFill="1" applyBorder="1" applyAlignment="1">
      <alignment vertical="center" wrapText="1"/>
    </xf>
    <xf numFmtId="0" fontId="17" fillId="7" borderId="0" xfId="0" applyFont="1" applyFill="1" applyAlignment="1">
      <alignment horizontal="center" vertical="center" wrapText="1"/>
    </xf>
    <xf numFmtId="166" fontId="16" fillId="7" borderId="0" xfId="0" applyNumberFormat="1" applyFont="1" applyFill="1" applyAlignment="1">
      <alignment vertical="center" wrapText="1"/>
    </xf>
    <xf numFmtId="166" fontId="17" fillId="7" borderId="0" xfId="0" applyNumberFormat="1" applyFont="1" applyFill="1" applyAlignment="1">
      <alignment vertical="center"/>
    </xf>
    <xf numFmtId="165" fontId="17" fillId="7" borderId="4" xfId="0" applyNumberFormat="1" applyFont="1" applyFill="1" applyBorder="1" applyAlignment="1">
      <alignment vertical="center" wrapText="1"/>
    </xf>
    <xf numFmtId="165" fontId="16" fillId="0" borderId="4" xfId="0" applyNumberFormat="1" applyFont="1" applyFill="1" applyBorder="1" applyAlignment="1">
      <alignment vertical="center" wrapText="1"/>
    </xf>
    <xf numFmtId="0" fontId="17" fillId="7" borderId="0" xfId="0" applyFont="1" applyFill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166" fontId="17" fillId="0" borderId="0" xfId="0" applyNumberFormat="1" applyFont="1" applyFill="1" applyAlignment="1">
      <alignment vertical="center"/>
    </xf>
    <xf numFmtId="166" fontId="17" fillId="0" borderId="4" xfId="0" applyNumberFormat="1" applyFont="1" applyFill="1" applyBorder="1" applyAlignment="1">
      <alignment vertical="center"/>
    </xf>
    <xf numFmtId="0" fontId="17" fillId="7" borderId="4" xfId="0" applyFont="1" applyFill="1" applyBorder="1" applyAlignment="1">
      <alignment vertical="center" wrapText="1"/>
    </xf>
    <xf numFmtId="0" fontId="0" fillId="0" borderId="0" xfId="0" applyFont="1" applyAlignment="1"/>
    <xf numFmtId="0" fontId="16" fillId="7" borderId="0" xfId="0" applyFont="1" applyFill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166" fontId="16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/>
    <xf numFmtId="0" fontId="16" fillId="0" borderId="0" xfId="0" applyFont="1" applyAlignment="1">
      <alignment horizontal="center"/>
    </xf>
    <xf numFmtId="0" fontId="16" fillId="7" borderId="0" xfId="0" applyFont="1" applyFill="1" applyAlignment="1"/>
    <xf numFmtId="0" fontId="16" fillId="0" borderId="0" xfId="0" applyFont="1" applyFill="1" applyAlignment="1">
      <alignment horizontal="center"/>
    </xf>
    <xf numFmtId="0" fontId="17" fillId="9" borderId="4" xfId="0" applyFont="1" applyFill="1" applyBorder="1" applyAlignment="1">
      <alignment horizontal="center" vertical="center" wrapText="1"/>
    </xf>
    <xf numFmtId="165" fontId="16" fillId="0" borderId="4" xfId="0" applyNumberFormat="1" applyFont="1" applyFill="1" applyBorder="1" applyAlignment="1">
      <alignment horizontal="center" vertical="center" wrapText="1"/>
    </xf>
    <xf numFmtId="166" fontId="17" fillId="0" borderId="4" xfId="0" applyNumberFormat="1" applyFont="1" applyFill="1" applyBorder="1" applyAlignment="1">
      <alignment vertical="center" wrapText="1"/>
    </xf>
    <xf numFmtId="0" fontId="16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wrapText="1"/>
    </xf>
    <xf numFmtId="0" fontId="0" fillId="0" borderId="0" xfId="0" applyFont="1" applyAlignment="1"/>
    <xf numFmtId="0" fontId="16" fillId="7" borderId="0" xfId="0" applyFont="1" applyFill="1" applyAlignment="1">
      <alignment horizontal="center"/>
    </xf>
    <xf numFmtId="0" fontId="30" fillId="0" borderId="0" xfId="0" applyFont="1" applyAlignment="1">
      <alignment vertical="center" wrapText="1"/>
    </xf>
    <xf numFmtId="164" fontId="16" fillId="5" borderId="4" xfId="0" applyNumberFormat="1" applyFont="1" applyFill="1" applyBorder="1" applyAlignment="1">
      <alignment horizontal="center" vertical="center" wrapText="1"/>
    </xf>
    <xf numFmtId="164" fontId="22" fillId="0" borderId="0" xfId="0" applyNumberFormat="1" applyFont="1" applyFill="1" applyAlignment="1">
      <alignment horizontal="center" vertical="center" wrapText="1"/>
    </xf>
    <xf numFmtId="164" fontId="16" fillId="7" borderId="0" xfId="0" applyNumberFormat="1" applyFont="1" applyFill="1" applyAlignment="1">
      <alignment horizontal="center" vertical="center" wrapText="1"/>
    </xf>
    <xf numFmtId="164" fontId="17" fillId="8" borderId="4" xfId="0" applyNumberFormat="1" applyFont="1" applyFill="1" applyBorder="1" applyAlignment="1">
      <alignment horizontal="center" vertical="center" wrapText="1"/>
    </xf>
    <xf numFmtId="0" fontId="0" fillId="0" borderId="0" xfId="0" applyFont="1" applyAlignment="1"/>
    <xf numFmtId="0" fontId="17" fillId="0" borderId="4" xfId="0" applyFont="1" applyFill="1" applyBorder="1" applyAlignment="1">
      <alignment horizontal="center" vertical="center" wrapText="1"/>
    </xf>
    <xf numFmtId="43" fontId="33" fillId="2" borderId="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3" fillId="0" borderId="0" xfId="0" applyFont="1" applyFill="1" applyAlignment="1">
      <alignment horizontal="center" wrapText="1"/>
    </xf>
    <xf numFmtId="0" fontId="18" fillId="0" borderId="0" xfId="0" applyFont="1" applyAlignment="1">
      <alignment horizontal="center" wrapText="1"/>
    </xf>
    <xf numFmtId="43" fontId="23" fillId="0" borderId="0" xfId="1" applyFont="1" applyAlignment="1">
      <alignment horizontal="center" wrapText="1"/>
    </xf>
    <xf numFmtId="43" fontId="23" fillId="0" borderId="0" xfId="0" applyNumberFormat="1" applyFont="1" applyAlignment="1">
      <alignment horizontal="center" wrapText="1"/>
    </xf>
    <xf numFmtId="43" fontId="22" fillId="0" borderId="0" xfId="0" applyNumberFormat="1" applyFont="1" applyAlignment="1">
      <alignment vertical="center" wrapText="1"/>
    </xf>
    <xf numFmtId="0" fontId="23" fillId="0" borderId="0" xfId="0" applyFont="1" applyAlignment="1"/>
    <xf numFmtId="0" fontId="22" fillId="0" borderId="4" xfId="0" applyFont="1" applyFill="1" applyBorder="1" applyAlignment="1">
      <alignment horizontal="center" vertical="center" wrapText="1"/>
    </xf>
    <xf numFmtId="0" fontId="0" fillId="0" borderId="0" xfId="0" applyFont="1" applyAlignment="1"/>
    <xf numFmtId="4" fontId="22" fillId="0" borderId="0" xfId="0" applyNumberFormat="1" applyFont="1" applyFill="1" applyAlignment="1">
      <alignment wrapText="1"/>
    </xf>
    <xf numFmtId="0" fontId="16" fillId="6" borderId="0" xfId="0" applyFont="1" applyFill="1" applyAlignment="1">
      <alignment vertical="center" wrapText="1"/>
    </xf>
    <xf numFmtId="0" fontId="0" fillId="0" borderId="0" xfId="0" applyFont="1" applyAlignment="1"/>
    <xf numFmtId="0" fontId="0" fillId="0" borderId="0" xfId="0" applyFont="1" applyAlignment="1"/>
    <xf numFmtId="0" fontId="16" fillId="11" borderId="0" xfId="0" applyFont="1" applyFill="1" applyAlignment="1">
      <alignment vertical="center" wrapText="1"/>
    </xf>
    <xf numFmtId="0" fontId="14" fillId="3" borderId="5" xfId="0" applyFont="1" applyFill="1" applyBorder="1" applyAlignment="1">
      <alignment horizontal="right" wrapText="1"/>
    </xf>
    <xf numFmtId="0" fontId="0" fillId="0" borderId="4" xfId="0" applyFont="1" applyBorder="1" applyAlignment="1">
      <alignment horizontal="right"/>
    </xf>
    <xf numFmtId="43" fontId="22" fillId="0" borderId="0" xfId="0" applyNumberFormat="1" applyFont="1" applyFill="1" applyAlignment="1">
      <alignment vertical="center" wrapText="1"/>
    </xf>
    <xf numFmtId="164" fontId="16" fillId="0" borderId="0" xfId="0" applyNumberFormat="1" applyFont="1" applyFill="1" applyAlignment="1">
      <alignment horizontal="right" vertical="center" wrapText="1"/>
    </xf>
    <xf numFmtId="165" fontId="16" fillId="0" borderId="4" xfId="0" applyNumberFormat="1" applyFont="1" applyFill="1" applyBorder="1" applyAlignment="1">
      <alignment vertical="center"/>
    </xf>
    <xf numFmtId="43" fontId="22" fillId="0" borderId="4" xfId="1" applyFont="1" applyFill="1" applyBorder="1" applyAlignment="1">
      <alignment horizontal="center" vertical="center" wrapText="1"/>
    </xf>
    <xf numFmtId="0" fontId="0" fillId="0" borderId="0" xfId="0" applyFont="1" applyAlignment="1"/>
    <xf numFmtId="0" fontId="16" fillId="0" borderId="0" xfId="0" applyFont="1" applyFill="1" applyAlignment="1">
      <alignment horizontal="right"/>
    </xf>
    <xf numFmtId="164" fontId="22" fillId="0" borderId="0" xfId="0" applyNumberFormat="1" applyFont="1" applyFill="1" applyAlignment="1">
      <alignment horizontal="right" vertical="center" wrapText="1"/>
    </xf>
    <xf numFmtId="0" fontId="16" fillId="0" borderId="0" xfId="0" applyFont="1" applyFill="1" applyAlignment="1">
      <alignment horizontal="right" vertical="center"/>
    </xf>
    <xf numFmtId="164" fontId="16" fillId="0" borderId="0" xfId="0" applyNumberFormat="1" applyFont="1" applyFill="1" applyAlignment="1">
      <alignment horizontal="right" vertical="center"/>
    </xf>
    <xf numFmtId="164" fontId="16" fillId="0" borderId="0" xfId="0" applyNumberFormat="1" applyFont="1" applyFill="1" applyAlignment="1">
      <alignment horizontal="right" wrapText="1"/>
    </xf>
    <xf numFmtId="164" fontId="16" fillId="0" borderId="4" xfId="6" applyNumberFormat="1" applyFont="1" applyFill="1" applyBorder="1" applyAlignment="1">
      <alignment horizontal="right" vertical="center" wrapText="1"/>
    </xf>
    <xf numFmtId="164" fontId="22" fillId="0" borderId="4" xfId="6" applyNumberFormat="1" applyFont="1" applyFill="1" applyBorder="1" applyAlignment="1">
      <alignment horizontal="right" vertical="center" wrapText="1"/>
    </xf>
    <xf numFmtId="164" fontId="16" fillId="0" borderId="4" xfId="1" applyNumberFormat="1" applyFont="1" applyFill="1" applyBorder="1" applyAlignment="1">
      <alignment horizontal="right" vertical="center"/>
    </xf>
    <xf numFmtId="164" fontId="16" fillId="0" borderId="4" xfId="1" applyNumberFormat="1" applyFont="1" applyFill="1" applyBorder="1" applyAlignment="1">
      <alignment horizontal="right" vertical="center" wrapText="1"/>
    </xf>
    <xf numFmtId="0" fontId="16" fillId="0" borderId="0" xfId="0" applyFont="1" applyAlignment="1">
      <alignment horizontal="right" vertical="center"/>
    </xf>
    <xf numFmtId="164" fontId="16" fillId="0" borderId="4" xfId="0" applyNumberFormat="1" applyFont="1" applyFill="1" applyBorder="1" applyAlignment="1">
      <alignment horizontal="right" vertical="center"/>
    </xf>
    <xf numFmtId="165" fontId="16" fillId="5" borderId="4" xfId="0" applyNumberFormat="1" applyFont="1" applyFill="1" applyBorder="1" applyAlignment="1">
      <alignment horizontal="right" vertical="center" wrapText="1"/>
    </xf>
    <xf numFmtId="164" fontId="16" fillId="0" borderId="0" xfId="0" applyNumberFormat="1" applyFont="1" applyAlignment="1">
      <alignment horizontal="right" vertical="center" wrapText="1"/>
    </xf>
    <xf numFmtId="165" fontId="16" fillId="0" borderId="4" xfId="0" applyNumberFormat="1" applyFont="1" applyFill="1" applyBorder="1" applyAlignment="1">
      <alignment horizontal="right" vertical="center" wrapText="1"/>
    </xf>
    <xf numFmtId="164" fontId="22" fillId="0" borderId="0" xfId="1" applyNumberFormat="1" applyFont="1" applyFill="1" applyAlignment="1">
      <alignment horizontal="right" vertical="center" wrapText="1"/>
    </xf>
    <xf numFmtId="164" fontId="16" fillId="5" borderId="4" xfId="0" applyNumberFormat="1" applyFont="1" applyFill="1" applyBorder="1" applyAlignment="1">
      <alignment horizontal="right" vertical="center" wrapText="1"/>
    </xf>
    <xf numFmtId="0" fontId="16" fillId="0" borderId="0" xfId="0" applyFont="1" applyFill="1" applyAlignment="1">
      <alignment horizontal="right" vertical="center" wrapText="1"/>
    </xf>
    <xf numFmtId="164" fontId="22" fillId="0" borderId="0" xfId="1" applyNumberFormat="1" applyFont="1" applyFill="1" applyAlignment="1">
      <alignment horizontal="right"/>
    </xf>
    <xf numFmtId="164" fontId="16" fillId="0" borderId="4" xfId="0" applyNumberFormat="1" applyFont="1" applyFill="1" applyBorder="1" applyAlignment="1">
      <alignment horizontal="right" vertical="center" wrapText="1"/>
    </xf>
    <xf numFmtId="164" fontId="21" fillId="7" borderId="4" xfId="6" applyNumberFormat="1" applyFont="1" applyFill="1" applyBorder="1" applyAlignment="1">
      <alignment horizontal="right" vertical="center" wrapText="1"/>
    </xf>
    <xf numFmtId="0" fontId="16" fillId="0" borderId="4" xfId="0" applyFont="1" applyFill="1" applyBorder="1" applyAlignment="1">
      <alignment horizontal="right" vertical="center"/>
    </xf>
    <xf numFmtId="0" fontId="17" fillId="7" borderId="0" xfId="0" applyFont="1" applyFill="1" applyAlignment="1">
      <alignment horizontal="right" vertical="center"/>
    </xf>
    <xf numFmtId="164" fontId="17" fillId="7" borderId="4" xfId="0" applyNumberFormat="1" applyFont="1" applyFill="1" applyBorder="1" applyAlignment="1">
      <alignment horizontal="right" vertical="center"/>
    </xf>
    <xf numFmtId="164" fontId="17" fillId="8" borderId="4" xfId="0" applyNumberFormat="1" applyFont="1" applyFill="1" applyBorder="1" applyAlignment="1">
      <alignment horizontal="right" vertical="center" wrapText="1"/>
    </xf>
    <xf numFmtId="0" fontId="22" fillId="0" borderId="0" xfId="0" applyFont="1" applyFill="1" applyAlignment="1">
      <alignment horizontal="center" vertical="center"/>
    </xf>
    <xf numFmtId="4" fontId="22" fillId="0" borderId="0" xfId="0" applyNumberFormat="1" applyFont="1" applyFill="1" applyAlignment="1"/>
    <xf numFmtId="166" fontId="22" fillId="0" borderId="0" xfId="0" applyNumberFormat="1" applyFont="1" applyFill="1" applyAlignment="1">
      <alignment horizontal="right" vertical="center" wrapText="1"/>
    </xf>
    <xf numFmtId="0" fontId="35" fillId="0" borderId="0" xfId="0" applyFont="1" applyFill="1" applyAlignment="1">
      <alignment vertical="center" wrapText="1"/>
    </xf>
    <xf numFmtId="0" fontId="22" fillId="0" borderId="0" xfId="0" applyFont="1" applyFill="1" applyAlignment="1">
      <alignment horizontal="right" vertical="center"/>
    </xf>
    <xf numFmtId="44" fontId="17" fillId="0" borderId="4" xfId="0" applyNumberFormat="1" applyFont="1" applyFill="1" applyBorder="1" applyAlignment="1">
      <alignment vertical="center"/>
    </xf>
    <xf numFmtId="164" fontId="16" fillId="0" borderId="0" xfId="0" applyNumberFormat="1" applyFont="1" applyFill="1" applyAlignment="1">
      <alignment horizontal="right"/>
    </xf>
    <xf numFmtId="164" fontId="16" fillId="0" borderId="4" xfId="0" applyNumberFormat="1" applyFont="1" applyFill="1" applyBorder="1" applyAlignment="1">
      <alignment horizontal="right"/>
    </xf>
    <xf numFmtId="0" fontId="7" fillId="0" borderId="0" xfId="0" applyFont="1" applyAlignment="1">
      <alignment horizontal="right"/>
    </xf>
    <xf numFmtId="0" fontId="22" fillId="0" borderId="0" xfId="0" applyFont="1" applyFill="1" applyAlignment="1">
      <alignment vertical="center"/>
    </xf>
    <xf numFmtId="0" fontId="34" fillId="0" borderId="0" xfId="0" applyFont="1" applyFill="1" applyAlignment="1">
      <alignment vertical="center"/>
    </xf>
    <xf numFmtId="0" fontId="34" fillId="0" borderId="0" xfId="0" applyFont="1" applyAlignment="1">
      <alignment vertical="center"/>
    </xf>
    <xf numFmtId="0" fontId="0" fillId="0" borderId="0" xfId="0" applyFont="1" applyAlignment="1"/>
    <xf numFmtId="0" fontId="16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wrapText="1"/>
    </xf>
    <xf numFmtId="165" fontId="22" fillId="0" borderId="0" xfId="0" applyNumberFormat="1" applyFont="1" applyFill="1" applyBorder="1" applyAlignment="1">
      <alignment vertical="center" wrapText="1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164" fontId="16" fillId="0" borderId="0" xfId="0" applyNumberFormat="1" applyFont="1" applyFill="1" applyBorder="1" applyAlignment="1">
      <alignment horizontal="right" vertical="center"/>
    </xf>
    <xf numFmtId="164" fontId="16" fillId="0" borderId="0" xfId="0" applyNumberFormat="1" applyFont="1" applyFill="1" applyBorder="1" applyAlignment="1">
      <alignment horizontal="right" vertical="center" wrapText="1"/>
    </xf>
    <xf numFmtId="0" fontId="16" fillId="0" borderId="0" xfId="0" applyFont="1" applyFill="1" applyBorder="1" applyAlignment="1">
      <alignment horizontal="right" vertical="center"/>
    </xf>
    <xf numFmtId="164" fontId="16" fillId="0" borderId="0" xfId="1" applyNumberFormat="1" applyFont="1" applyFill="1" applyBorder="1" applyAlignment="1">
      <alignment horizontal="right" vertical="center"/>
    </xf>
    <xf numFmtId="164" fontId="16" fillId="0" borderId="0" xfId="0" applyNumberFormat="1" applyFont="1" applyFill="1" applyBorder="1" applyAlignment="1">
      <alignment horizontal="right"/>
    </xf>
    <xf numFmtId="166" fontId="17" fillId="0" borderId="0" xfId="0" applyNumberFormat="1" applyFont="1" applyFill="1" applyBorder="1" applyAlignment="1">
      <alignment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 wrapText="1"/>
    </xf>
    <xf numFmtId="0" fontId="34" fillId="0" borderId="0" xfId="0" applyFont="1" applyFill="1" applyBorder="1" applyAlignment="1">
      <alignment vertical="center"/>
    </xf>
    <xf numFmtId="0" fontId="16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164" fontId="22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right"/>
    </xf>
    <xf numFmtId="164" fontId="22" fillId="0" borderId="0" xfId="0" applyNumberFormat="1" applyFont="1" applyFill="1" applyBorder="1" applyAlignment="1">
      <alignment horizontal="right" vertical="center" wrapText="1"/>
    </xf>
    <xf numFmtId="164" fontId="16" fillId="0" borderId="0" xfId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horizontal="right" vertical="center" wrapText="1"/>
    </xf>
    <xf numFmtId="0" fontId="16" fillId="0" borderId="0" xfId="0" applyFont="1" applyBorder="1" applyAlignment="1">
      <alignment horizontal="right" vertical="center"/>
    </xf>
    <xf numFmtId="164" fontId="16" fillId="0" borderId="0" xfId="0" applyNumberFormat="1" applyFont="1" applyFill="1" applyBorder="1" applyAlignment="1">
      <alignment horizontal="right" wrapText="1"/>
    </xf>
    <xf numFmtId="164" fontId="22" fillId="0" borderId="0" xfId="1" applyNumberFormat="1" applyFont="1" applyFill="1" applyBorder="1" applyAlignment="1">
      <alignment horizontal="right" vertical="center" wrapText="1"/>
    </xf>
    <xf numFmtId="166" fontId="16" fillId="0" borderId="0" xfId="0" applyNumberFormat="1" applyFont="1" applyFill="1" applyBorder="1" applyAlignment="1">
      <alignment vertical="center" wrapText="1"/>
    </xf>
    <xf numFmtId="166" fontId="16" fillId="0" borderId="0" xfId="0" applyNumberFormat="1" applyFont="1" applyBorder="1" applyAlignment="1">
      <alignment vertical="center" wrapText="1"/>
    </xf>
    <xf numFmtId="166" fontId="22" fillId="0" borderId="0" xfId="0" applyNumberFormat="1" applyFont="1" applyFill="1" applyBorder="1" applyAlignment="1">
      <alignment vertical="center" wrapText="1"/>
    </xf>
    <xf numFmtId="166" fontId="21" fillId="0" borderId="0" xfId="0" applyNumberFormat="1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/>
    </xf>
    <xf numFmtId="0" fontId="35" fillId="0" borderId="0" xfId="0" applyFont="1" applyFill="1" applyBorder="1" applyAlignment="1">
      <alignment vertical="center" wrapText="1"/>
    </xf>
    <xf numFmtId="0" fontId="16" fillId="0" borderId="0" xfId="0" applyFont="1" applyFill="1" applyBorder="1" applyAlignment="1"/>
    <xf numFmtId="0" fontId="18" fillId="0" borderId="0" xfId="0" applyFont="1" applyFill="1" applyAlignment="1">
      <alignment horizontal="center" wrapText="1"/>
    </xf>
    <xf numFmtId="43" fontId="23" fillId="0" borderId="0" xfId="1" applyFont="1" applyFill="1" applyAlignment="1">
      <alignment horizontal="center" wrapText="1"/>
    </xf>
    <xf numFmtId="0" fontId="15" fillId="13" borderId="5" xfId="0" applyFont="1" applyFill="1" applyBorder="1" applyAlignment="1">
      <alignment horizontal="center" vertical="center"/>
    </xf>
    <xf numFmtId="165" fontId="22" fillId="0" borderId="0" xfId="0" applyNumberFormat="1" applyFont="1" applyFill="1" applyAlignment="1">
      <alignment wrapText="1"/>
    </xf>
    <xf numFmtId="166" fontId="22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right"/>
    </xf>
    <xf numFmtId="0" fontId="22" fillId="0" borderId="0" xfId="0" applyFont="1" applyFill="1" applyAlignment="1">
      <alignment wrapText="1"/>
    </xf>
    <xf numFmtId="164" fontId="22" fillId="0" borderId="0" xfId="0" applyNumberFormat="1" applyFont="1" applyFill="1" applyBorder="1" applyAlignment="1">
      <alignment horizontal="right" vertical="center"/>
    </xf>
    <xf numFmtId="164" fontId="22" fillId="0" borderId="0" xfId="0" applyNumberFormat="1" applyFont="1" applyFill="1" applyAlignment="1">
      <alignment horizontal="right" vertical="center"/>
    </xf>
    <xf numFmtId="43" fontId="18" fillId="0" borderId="0" xfId="0" applyNumberFormat="1" applyFont="1" applyFill="1" applyAlignment="1">
      <alignment horizontal="center" wrapText="1"/>
    </xf>
    <xf numFmtId="0" fontId="18" fillId="0" borderId="5" xfId="0" applyFont="1" applyFill="1" applyBorder="1" applyAlignment="1">
      <alignment horizontal="center" wrapText="1"/>
    </xf>
    <xf numFmtId="43" fontId="18" fillId="0" borderId="5" xfId="0" applyNumberFormat="1" applyFont="1" applyFill="1" applyBorder="1" applyAlignment="1">
      <alignment vertical="center" wrapText="1"/>
    </xf>
    <xf numFmtId="0" fontId="18" fillId="0" borderId="5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wrapText="1"/>
    </xf>
    <xf numFmtId="0" fontId="18" fillId="0" borderId="0" xfId="0" applyFont="1" applyFill="1"/>
    <xf numFmtId="0" fontId="18" fillId="0" borderId="5" xfId="0" applyFont="1" applyFill="1" applyBorder="1" applyAlignment="1">
      <alignment vertical="center" wrapText="1"/>
    </xf>
    <xf numFmtId="0" fontId="23" fillId="0" borderId="5" xfId="0" applyFont="1" applyFill="1" applyBorder="1" applyAlignment="1"/>
    <xf numFmtId="43" fontId="23" fillId="0" borderId="0" xfId="1" applyFont="1" applyFill="1" applyAlignment="1"/>
    <xf numFmtId="43" fontId="23" fillId="0" borderId="0" xfId="0" applyNumberFormat="1" applyFont="1" applyFill="1" applyAlignment="1"/>
    <xf numFmtId="0" fontId="18" fillId="0" borderId="5" xfId="0" applyFont="1" applyFill="1" applyBorder="1"/>
    <xf numFmtId="0" fontId="0" fillId="0" borderId="0" xfId="0" applyFont="1" applyAlignment="1"/>
    <xf numFmtId="0" fontId="0" fillId="0" borderId="0" xfId="0" applyFont="1" applyAlignment="1"/>
    <xf numFmtId="166" fontId="16" fillId="0" borderId="4" xfId="0" applyNumberFormat="1" applyFont="1" applyFill="1" applyBorder="1" applyAlignment="1">
      <alignment vertical="center" wrapText="1"/>
    </xf>
    <xf numFmtId="0" fontId="16" fillId="0" borderId="4" xfId="0" applyFont="1" applyFill="1" applyBorder="1" applyAlignment="1">
      <alignment horizontal="right"/>
    </xf>
    <xf numFmtId="3" fontId="16" fillId="0" borderId="0" xfId="0" applyNumberFormat="1" applyFont="1" applyAlignment="1">
      <alignment horizontal="right" vertical="center" wrapText="1"/>
    </xf>
    <xf numFmtId="165" fontId="16" fillId="0" borderId="0" xfId="0" applyNumberFormat="1" applyFont="1" applyAlignment="1">
      <alignment vertical="center" wrapText="1"/>
    </xf>
    <xf numFmtId="3" fontId="16" fillId="0" borderId="0" xfId="0" applyNumberFormat="1" applyFont="1" applyAlignment="1">
      <alignment horizontal="right"/>
    </xf>
    <xf numFmtId="0" fontId="0" fillId="0" borderId="0" xfId="0" applyFont="1" applyAlignment="1"/>
    <xf numFmtId="164" fontId="22" fillId="0" borderId="4" xfId="0" applyNumberFormat="1" applyFont="1" applyFill="1" applyBorder="1" applyAlignment="1">
      <alignment horizontal="right" vertical="center" wrapText="1"/>
    </xf>
    <xf numFmtId="164" fontId="22" fillId="0" borderId="4" xfId="0" applyNumberFormat="1" applyFont="1" applyFill="1" applyBorder="1" applyAlignment="1">
      <alignment horizontal="center" vertical="center" wrapText="1"/>
    </xf>
    <xf numFmtId="166" fontId="22" fillId="0" borderId="4" xfId="0" applyNumberFormat="1" applyFont="1" applyFill="1" applyBorder="1" applyAlignment="1">
      <alignment vertical="center" wrapText="1"/>
    </xf>
    <xf numFmtId="166" fontId="21" fillId="0" borderId="4" xfId="0" applyNumberFormat="1" applyFont="1" applyFill="1" applyBorder="1" applyAlignment="1">
      <alignment vertical="center" wrapText="1"/>
    </xf>
    <xf numFmtId="0" fontId="22" fillId="0" borderId="4" xfId="0" applyFont="1" applyFill="1" applyBorder="1" applyAlignment="1">
      <alignment vertical="center"/>
    </xf>
    <xf numFmtId="165" fontId="22" fillId="0" borderId="4" xfId="2" applyNumberFormat="1" applyFont="1" applyFill="1" applyAlignment="1">
      <alignment vertical="center" wrapText="1"/>
    </xf>
    <xf numFmtId="164" fontId="22" fillId="0" borderId="4" xfId="1" applyNumberFormat="1" applyFont="1" applyFill="1" applyBorder="1" applyAlignment="1">
      <alignment horizontal="right" vertical="center" wrapText="1"/>
    </xf>
    <xf numFmtId="0" fontId="0" fillId="0" borderId="0" xfId="0" applyFont="1" applyAlignment="1"/>
    <xf numFmtId="43" fontId="0" fillId="0" borderId="0" xfId="0" applyNumberFormat="1" applyFont="1" applyAlignment="1"/>
    <xf numFmtId="0" fontId="0" fillId="0" borderId="0" xfId="0" applyFont="1" applyAlignment="1"/>
    <xf numFmtId="0" fontId="18" fillId="0" borderId="5" xfId="0" applyFont="1" applyFill="1" applyBorder="1" applyAlignment="1">
      <alignment horizontal="left"/>
    </xf>
    <xf numFmtId="0" fontId="18" fillId="0" borderId="5" xfId="0" applyFont="1" applyFill="1" applyBorder="1" applyAlignment="1"/>
    <xf numFmtId="0" fontId="17" fillId="4" borderId="5" xfId="0" applyFont="1" applyFill="1" applyBorder="1" applyAlignment="1">
      <alignment horizontal="center" vertical="center" wrapText="1"/>
    </xf>
    <xf numFmtId="0" fontId="17" fillId="4" borderId="5" xfId="0" applyFont="1" applyFill="1" applyBorder="1" applyAlignment="1">
      <alignment horizontal="center" vertical="center" textRotation="90" wrapText="1"/>
    </xf>
    <xf numFmtId="0" fontId="17" fillId="4" borderId="5" xfId="0" applyFont="1" applyFill="1" applyBorder="1" applyAlignment="1">
      <alignment horizontal="right" vertical="center" textRotation="90" wrapText="1"/>
    </xf>
    <xf numFmtId="0" fontId="21" fillId="4" borderId="5" xfId="0" applyFont="1" applyFill="1" applyBorder="1" applyAlignment="1">
      <alignment horizontal="center" vertical="center" wrapText="1"/>
    </xf>
    <xf numFmtId="0" fontId="22" fillId="15" borderId="5" xfId="0" applyFont="1" applyFill="1" applyBorder="1" applyAlignment="1">
      <alignment vertical="center" wrapText="1"/>
    </xf>
    <xf numFmtId="0" fontId="22" fillId="15" borderId="5" xfId="0" applyFont="1" applyFill="1" applyBorder="1" applyAlignment="1">
      <alignment horizontal="center" vertical="center" wrapText="1"/>
    </xf>
    <xf numFmtId="164" fontId="22" fillId="15" borderId="5" xfId="0" applyNumberFormat="1" applyFont="1" applyFill="1" applyBorder="1" applyAlignment="1">
      <alignment horizontal="center" vertical="center" wrapText="1"/>
    </xf>
    <xf numFmtId="0" fontId="22" fillId="15" borderId="5" xfId="0" applyFont="1" applyFill="1" applyBorder="1" applyAlignment="1">
      <alignment horizontal="center"/>
    </xf>
    <xf numFmtId="164" fontId="22" fillId="15" borderId="5" xfId="0" applyNumberFormat="1" applyFont="1" applyFill="1" applyBorder="1" applyAlignment="1">
      <alignment horizontal="right" vertical="center" wrapText="1"/>
    </xf>
    <xf numFmtId="164" fontId="16" fillId="15" borderId="5" xfId="0" applyNumberFormat="1" applyFont="1" applyFill="1" applyBorder="1" applyAlignment="1">
      <alignment horizontal="center" vertical="center" wrapText="1"/>
    </xf>
    <xf numFmtId="165" fontId="22" fillId="15" borderId="5" xfId="0" applyNumberFormat="1" applyFont="1" applyFill="1" applyBorder="1" applyAlignment="1">
      <alignment vertical="center" wrapText="1"/>
    </xf>
    <xf numFmtId="166" fontId="16" fillId="15" borderId="5" xfId="0" applyNumberFormat="1" applyFont="1" applyFill="1" applyBorder="1" applyAlignment="1">
      <alignment vertical="center" wrapText="1"/>
    </xf>
    <xf numFmtId="167" fontId="38" fillId="14" borderId="0" xfId="0" applyNumberFormat="1" applyFont="1" applyFill="1" applyAlignment="1"/>
    <xf numFmtId="0" fontId="22" fillId="14" borderId="5" xfId="0" applyFont="1" applyFill="1" applyBorder="1" applyAlignment="1">
      <alignment vertical="center" wrapText="1"/>
    </xf>
    <xf numFmtId="0" fontId="22" fillId="14" borderId="5" xfId="0" applyFont="1" applyFill="1" applyBorder="1" applyAlignment="1">
      <alignment horizontal="center" vertical="center" wrapText="1"/>
    </xf>
    <xf numFmtId="164" fontId="22" fillId="14" borderId="5" xfId="0" applyNumberFormat="1" applyFont="1" applyFill="1" applyBorder="1" applyAlignment="1">
      <alignment horizontal="center" vertical="center" wrapText="1"/>
    </xf>
    <xf numFmtId="0" fontId="22" fillId="14" borderId="5" xfId="0" applyFont="1" applyFill="1" applyBorder="1" applyAlignment="1">
      <alignment horizontal="center"/>
    </xf>
    <xf numFmtId="164" fontId="22" fillId="14" borderId="5" xfId="0" applyNumberFormat="1" applyFont="1" applyFill="1" applyBorder="1" applyAlignment="1">
      <alignment horizontal="right" vertical="center" wrapText="1"/>
    </xf>
    <xf numFmtId="164" fontId="16" fillId="14" borderId="5" xfId="0" applyNumberFormat="1" applyFont="1" applyFill="1" applyBorder="1" applyAlignment="1">
      <alignment horizontal="center" vertical="center" wrapText="1"/>
    </xf>
    <xf numFmtId="167" fontId="37" fillId="0" borderId="5" xfId="0" applyNumberFormat="1" applyFont="1" applyBorder="1" applyAlignment="1"/>
    <xf numFmtId="165" fontId="35" fillId="14" borderId="5" xfId="0" applyNumberFormat="1" applyFont="1" applyFill="1" applyBorder="1" applyAlignment="1">
      <alignment vertical="center" wrapText="1"/>
    </xf>
    <xf numFmtId="166" fontId="22" fillId="14" borderId="5" xfId="0" applyNumberFormat="1" applyFont="1" applyFill="1" applyBorder="1" applyAlignment="1">
      <alignment vertical="center" wrapText="1"/>
    </xf>
    <xf numFmtId="0" fontId="37" fillId="0" borderId="4" xfId="0" applyFont="1" applyBorder="1" applyAlignment="1"/>
    <xf numFmtId="167" fontId="37" fillId="0" borderId="4" xfId="0" applyNumberFormat="1" applyFont="1" applyBorder="1" applyAlignment="1"/>
    <xf numFmtId="0" fontId="37" fillId="0" borderId="5" xfId="0" applyFont="1" applyBorder="1" applyAlignment="1">
      <alignment horizontal="right"/>
    </xf>
    <xf numFmtId="0" fontId="0" fillId="0" borderId="0" xfId="0" applyFont="1" applyAlignment="1"/>
    <xf numFmtId="165" fontId="22" fillId="6" borderId="0" xfId="0" applyNumberFormat="1" applyFont="1" applyFill="1" applyAlignment="1">
      <alignment vertical="center" wrapText="1"/>
    </xf>
    <xf numFmtId="43" fontId="16" fillId="0" borderId="0" xfId="1" applyFont="1" applyFill="1" applyAlignment="1">
      <alignment horizontal="right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6" fillId="0" borderId="0" xfId="0" applyFont="1" applyAlignment="1"/>
    <xf numFmtId="0" fontId="5" fillId="0" borderId="0" xfId="0" applyFont="1" applyAlignment="1"/>
    <xf numFmtId="0" fontId="23" fillId="0" borderId="0" xfId="0" applyFont="1" applyAlignment="1">
      <alignment horizontal="left" wrapText="1"/>
    </xf>
    <xf numFmtId="43" fontId="20" fillId="0" borderId="0" xfId="1" applyFont="1" applyAlignment="1"/>
    <xf numFmtId="165" fontId="22" fillId="11" borderId="0" xfId="0" applyNumberFormat="1" applyFont="1" applyFill="1" applyAlignment="1">
      <alignment vertical="center" wrapText="1"/>
    </xf>
    <xf numFmtId="164" fontId="16" fillId="0" borderId="0" xfId="1" applyNumberFormat="1" applyFont="1" applyFill="1" applyAlignment="1">
      <alignment horizontal="right"/>
    </xf>
    <xf numFmtId="0" fontId="16" fillId="0" borderId="4" xfId="0" applyNumberFormat="1" applyFont="1" applyFill="1" applyBorder="1" applyAlignment="1">
      <alignment horizontal="right" vertical="center" wrapText="1"/>
    </xf>
    <xf numFmtId="0" fontId="16" fillId="0" borderId="0" xfId="0" applyFont="1" applyAlignment="1">
      <alignment horizontal="right"/>
    </xf>
    <xf numFmtId="43" fontId="16" fillId="0" borderId="0" xfId="1" applyFont="1" applyFill="1" applyAlignment="1">
      <alignment horizontal="right" vertical="center"/>
    </xf>
    <xf numFmtId="0" fontId="22" fillId="0" borderId="0" xfId="0" applyFont="1" applyFill="1" applyAlignment="1"/>
    <xf numFmtId="0" fontId="16" fillId="0" borderId="4" xfId="0" applyFont="1" applyFill="1" applyBorder="1" applyAlignment="1"/>
    <xf numFmtId="43" fontId="16" fillId="0" borderId="4" xfId="1" applyFont="1" applyFill="1" applyBorder="1" applyAlignment="1">
      <alignment horizontal="right" vertical="center" wrapText="1"/>
    </xf>
    <xf numFmtId="164" fontId="22" fillId="0" borderId="0" xfId="0" applyNumberFormat="1" applyFont="1" applyFill="1" applyAlignment="1">
      <alignment horizontal="right" wrapText="1"/>
    </xf>
    <xf numFmtId="164" fontId="22" fillId="0" borderId="4" xfId="0" applyNumberFormat="1" applyFont="1" applyFill="1" applyBorder="1" applyAlignment="1">
      <alignment horizontal="right" wrapText="1"/>
    </xf>
    <xf numFmtId="164" fontId="22" fillId="0" borderId="0" xfId="0" applyNumberFormat="1" applyFont="1" applyFill="1" applyBorder="1" applyAlignment="1">
      <alignment horizontal="right" wrapText="1"/>
    </xf>
    <xf numFmtId="43" fontId="16" fillId="0" borderId="0" xfId="1" applyFont="1" applyFill="1" applyAlignment="1">
      <alignment horizontal="right"/>
    </xf>
    <xf numFmtId="165" fontId="22" fillId="0" borderId="0" xfId="0" applyNumberFormat="1" applyFont="1" applyFill="1" applyAlignment="1">
      <alignment horizontal="right" vertical="center" wrapText="1"/>
    </xf>
    <xf numFmtId="0" fontId="22" fillId="0" borderId="0" xfId="0" applyFont="1" applyFill="1" applyBorder="1" applyAlignment="1">
      <alignment horizontal="right"/>
    </xf>
    <xf numFmtId="164" fontId="17" fillId="7" borderId="4" xfId="6" applyNumberFormat="1" applyFont="1" applyFill="1" applyBorder="1" applyAlignment="1">
      <alignment horizontal="right" vertical="center" wrapText="1"/>
    </xf>
    <xf numFmtId="3" fontId="22" fillId="0" borderId="0" xfId="0" applyNumberFormat="1" applyFont="1" applyFill="1" applyAlignment="1">
      <alignment horizontal="right" vertical="center"/>
    </xf>
    <xf numFmtId="164" fontId="17" fillId="0" borderId="0" xfId="0" applyNumberFormat="1" applyFont="1" applyFill="1" applyAlignment="1">
      <alignment horizontal="right" vertical="center"/>
    </xf>
    <xf numFmtId="43" fontId="25" fillId="0" borderId="0" xfId="1" applyFont="1" applyAlignment="1"/>
    <xf numFmtId="43" fontId="23" fillId="0" borderId="0" xfId="0" applyNumberFormat="1" applyFont="1" applyFill="1" applyAlignment="1">
      <alignment horizontal="center" wrapText="1"/>
    </xf>
    <xf numFmtId="0" fontId="4" fillId="0" borderId="0" xfId="0" applyFont="1" applyAlignment="1"/>
    <xf numFmtId="0" fontId="16" fillId="0" borderId="4" xfId="21" applyFont="1" applyFill="1" applyAlignment="1">
      <alignment vertical="center" wrapText="1"/>
    </xf>
    <xf numFmtId="0" fontId="42" fillId="0" borderId="4" xfId="0" applyFont="1" applyFill="1" applyBorder="1" applyAlignment="1"/>
    <xf numFmtId="0" fontId="42" fillId="0" borderId="4" xfId="0" applyFont="1" applyFill="1" applyBorder="1" applyAlignment="1">
      <alignment horizontal="right"/>
    </xf>
    <xf numFmtId="0" fontId="42" fillId="0" borderId="6" xfId="0" applyFont="1" applyBorder="1" applyAlignment="1"/>
    <xf numFmtId="43" fontId="42" fillId="6" borderId="6" xfId="1" applyFont="1" applyFill="1" applyBorder="1" applyAlignment="1"/>
    <xf numFmtId="43" fontId="42" fillId="0" borderId="0" xfId="0" applyNumberFormat="1" applyFont="1" applyAlignment="1"/>
    <xf numFmtId="43" fontId="42" fillId="0" borderId="0" xfId="1" applyFont="1" applyAlignment="1"/>
    <xf numFmtId="0" fontId="42" fillId="0" borderId="0" xfId="0" applyFont="1" applyAlignment="1"/>
    <xf numFmtId="0" fontId="42" fillId="6" borderId="6" xfId="0" applyFont="1" applyFill="1" applyBorder="1" applyAlignment="1"/>
    <xf numFmtId="0" fontId="41" fillId="4" borderId="4" xfId="0" applyFont="1" applyFill="1" applyBorder="1" applyAlignment="1">
      <alignment horizontal="center" vertical="center" wrapText="1"/>
    </xf>
    <xf numFmtId="165" fontId="22" fillId="0" borderId="4" xfId="35" applyNumberFormat="1" applyFont="1" applyFill="1" applyAlignment="1">
      <alignment vertical="center" wrapText="1"/>
    </xf>
    <xf numFmtId="0" fontId="42" fillId="0" borderId="4" xfId="0" applyFont="1" applyFill="1" applyBorder="1" applyAlignment="1">
      <alignment wrapText="1"/>
    </xf>
    <xf numFmtId="0" fontId="0" fillId="0" borderId="0" xfId="0" applyFont="1" applyAlignment="1">
      <alignment horizontal="left"/>
    </xf>
    <xf numFmtId="164" fontId="22" fillId="0" borderId="0" xfId="1" applyNumberFormat="1" applyFont="1" applyFill="1" applyAlignment="1">
      <alignment horizontal="right" vertical="center"/>
    </xf>
    <xf numFmtId="165" fontId="22" fillId="11" borderId="0" xfId="0" applyNumberFormat="1" applyFont="1" applyFill="1" applyBorder="1" applyAlignment="1">
      <alignment vertical="center" wrapText="1"/>
    </xf>
    <xf numFmtId="0" fontId="44" fillId="0" borderId="4" xfId="0" applyFont="1" applyFill="1" applyBorder="1" applyAlignment="1">
      <alignment horizontal="center" vertical="center" wrapText="1"/>
    </xf>
    <xf numFmtId="166" fontId="43" fillId="0" borderId="0" xfId="0" applyNumberFormat="1" applyFont="1" applyAlignment="1"/>
    <xf numFmtId="0" fontId="16" fillId="0" borderId="0" xfId="0" applyFont="1"/>
    <xf numFmtId="0" fontId="16" fillId="0" borderId="0" xfId="0" applyNumberFormat="1" applyFont="1" applyFill="1" applyAlignment="1"/>
    <xf numFmtId="0" fontId="16" fillId="0" borderId="0" xfId="0" applyNumberFormat="1" applyFont="1" applyAlignment="1"/>
    <xf numFmtId="0" fontId="16" fillId="0" borderId="0" xfId="0" applyNumberFormat="1" applyFont="1" applyFill="1" applyBorder="1" applyAlignment="1"/>
    <xf numFmtId="0" fontId="22" fillId="0" borderId="0" xfId="0" applyNumberFormat="1" applyFont="1" applyFill="1" applyAlignment="1"/>
    <xf numFmtId="0" fontId="16" fillId="0" borderId="0" xfId="0" applyNumberFormat="1" applyFont="1"/>
    <xf numFmtId="0" fontId="16" fillId="10" borderId="0" xfId="0" applyFont="1" applyFill="1" applyAlignment="1"/>
    <xf numFmtId="0" fontId="16" fillId="0" borderId="0" xfId="0" applyNumberFormat="1" applyFont="1" applyFill="1" applyAlignment="1">
      <alignment horizontal="center" vertical="center"/>
    </xf>
    <xf numFmtId="0" fontId="16" fillId="0" borderId="0" xfId="0" applyFont="1" applyAlignment="1">
      <alignment wrapText="1"/>
    </xf>
    <xf numFmtId="0" fontId="22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horizontal="right" wrapText="1"/>
    </xf>
    <xf numFmtId="0" fontId="16" fillId="0" borderId="0" xfId="0" applyFont="1" applyFill="1"/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horizontal="right" wrapText="1"/>
    </xf>
    <xf numFmtId="0" fontId="16" fillId="0" borderId="0" xfId="0" applyFont="1" applyFill="1" applyAlignment="1">
      <alignment horizontal="center" wrapText="1"/>
    </xf>
    <xf numFmtId="0" fontId="16" fillId="8" borderId="0" xfId="0" applyFont="1" applyFill="1" applyAlignment="1"/>
    <xf numFmtId="164" fontId="22" fillId="0" borderId="0" xfId="0" applyNumberFormat="1" applyFont="1" applyFill="1" applyAlignment="1">
      <alignment horizontal="right"/>
    </xf>
    <xf numFmtId="43" fontId="16" fillId="0" borderId="0" xfId="1" applyFont="1" applyAlignment="1"/>
    <xf numFmtId="0" fontId="16" fillId="12" borderId="0" xfId="0" applyFont="1" applyFill="1" applyAlignment="1"/>
    <xf numFmtId="166" fontId="22" fillId="0" borderId="0" xfId="0" applyNumberFormat="1" applyFont="1" applyAlignment="1">
      <alignment horizontal="center"/>
    </xf>
    <xf numFmtId="43" fontId="22" fillId="6" borderId="0" xfId="1" applyFont="1" applyFill="1" applyAlignment="1">
      <alignment horizontal="center"/>
    </xf>
    <xf numFmtId="43" fontId="22" fillId="0" borderId="0" xfId="1" applyFont="1" applyAlignment="1">
      <alignment horizontal="center"/>
    </xf>
    <xf numFmtId="167" fontId="16" fillId="0" borderId="0" xfId="0" applyNumberFormat="1" applyFont="1" applyAlignment="1"/>
    <xf numFmtId="0" fontId="22" fillId="0" borderId="0" xfId="0" applyFont="1" applyAlignment="1">
      <alignment horizontal="center"/>
    </xf>
    <xf numFmtId="0" fontId="30" fillId="0" borderId="0" xfId="0" applyFont="1" applyAlignment="1"/>
    <xf numFmtId="166" fontId="22" fillId="0" borderId="0" xfId="0" applyNumberFormat="1" applyFont="1" applyAlignment="1"/>
    <xf numFmtId="0" fontId="22" fillId="0" borderId="0" xfId="0" applyFont="1" applyAlignment="1"/>
    <xf numFmtId="43" fontId="22" fillId="0" borderId="0" xfId="1" applyFont="1" applyAlignment="1"/>
    <xf numFmtId="43" fontId="22" fillId="0" borderId="0" xfId="0" applyNumberFormat="1" applyFont="1" applyAlignment="1"/>
    <xf numFmtId="43" fontId="30" fillId="0" borderId="0" xfId="1" applyFont="1" applyAlignment="1"/>
    <xf numFmtId="43" fontId="30" fillId="0" borderId="0" xfId="0" applyNumberFormat="1" applyFont="1" applyAlignment="1"/>
    <xf numFmtId="43" fontId="45" fillId="0" borderId="0" xfId="1" applyFont="1" applyAlignment="1"/>
    <xf numFmtId="166" fontId="16" fillId="0" borderId="0" xfId="0" applyNumberFormat="1" applyFont="1" applyAlignment="1"/>
    <xf numFmtId="164" fontId="16" fillId="0" borderId="4" xfId="1" applyNumberFormat="1" applyFont="1" applyFill="1" applyBorder="1" applyAlignment="1">
      <alignment horizontal="right"/>
    </xf>
    <xf numFmtId="3" fontId="16" fillId="0" borderId="0" xfId="0" applyNumberFormat="1" applyFont="1" applyFill="1" applyAlignment="1">
      <alignment horizontal="right"/>
    </xf>
    <xf numFmtId="3" fontId="16" fillId="0" borderId="0" xfId="0" applyNumberFormat="1" applyFont="1" applyFill="1" applyAlignment="1">
      <alignment horizontal="right" vertical="center" wrapText="1"/>
    </xf>
    <xf numFmtId="0" fontId="16" fillId="0" borderId="0" xfId="0" applyNumberFormat="1" applyFont="1" applyFill="1"/>
    <xf numFmtId="166" fontId="17" fillId="5" borderId="4" xfId="0" applyNumberFormat="1" applyFont="1" applyFill="1" applyBorder="1" applyAlignment="1">
      <alignment horizontal="center" vertical="center" wrapText="1"/>
    </xf>
    <xf numFmtId="0" fontId="16" fillId="7" borderId="4" xfId="0" applyFont="1" applyFill="1" applyBorder="1" applyAlignment="1">
      <alignment horizontal="center" vertical="center" wrapText="1"/>
    </xf>
    <xf numFmtId="0" fontId="16" fillId="0" borderId="0" xfId="0" applyNumberFormat="1" applyFont="1" applyFill="1" applyAlignment="1">
      <alignment vertical="center"/>
    </xf>
    <xf numFmtId="167" fontId="21" fillId="0" borderId="0" xfId="0" applyNumberFormat="1" applyFont="1" applyAlignment="1"/>
    <xf numFmtId="0" fontId="43" fillId="0" borderId="0" xfId="0" applyFont="1" applyAlignment="1">
      <alignment horizontal="right"/>
    </xf>
    <xf numFmtId="43" fontId="21" fillId="0" borderId="0" xfId="1" applyFont="1" applyAlignment="1">
      <alignment horizontal="right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/>
    <xf numFmtId="43" fontId="16" fillId="0" borderId="0" xfId="0" applyNumberFormat="1" applyFont="1" applyFill="1" applyAlignment="1"/>
    <xf numFmtId="0" fontId="46" fillId="0" borderId="4" xfId="0" applyFont="1" applyFill="1" applyBorder="1" applyAlignment="1">
      <alignment vertical="center" wrapText="1"/>
    </xf>
    <xf numFmtId="0" fontId="46" fillId="0" borderId="4" xfId="0" applyFont="1" applyFill="1" applyBorder="1" applyAlignment="1">
      <alignment horizontal="center" vertical="center" wrapText="1"/>
    </xf>
    <xf numFmtId="164" fontId="46" fillId="0" borderId="4" xfId="0" applyNumberFormat="1" applyFont="1" applyFill="1" applyBorder="1" applyAlignment="1">
      <alignment horizontal="right" vertical="center" wrapText="1"/>
    </xf>
    <xf numFmtId="166" fontId="47" fillId="0" borderId="4" xfId="0" applyNumberFormat="1" applyFont="1" applyFill="1" applyBorder="1" applyAlignment="1">
      <alignment vertical="center" wrapText="1"/>
    </xf>
    <xf numFmtId="0" fontId="46" fillId="0" borderId="0" xfId="0" applyNumberFormat="1" applyFont="1" applyFill="1" applyAlignment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/>
    <xf numFmtId="0" fontId="0" fillId="0" borderId="0" xfId="0" applyFont="1" applyFill="1" applyAlignment="1">
      <alignment horizontal="center"/>
    </xf>
    <xf numFmtId="43" fontId="16" fillId="0" borderId="0" xfId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0" fillId="0" borderId="0" xfId="0" applyNumberFormat="1" applyFont="1" applyFill="1" applyAlignment="1"/>
    <xf numFmtId="164" fontId="16" fillId="0" borderId="0" xfId="0" applyNumberFormat="1" applyFont="1" applyAlignment="1">
      <alignment horizontal="center" vertical="center" wrapText="1"/>
    </xf>
    <xf numFmtId="0" fontId="0" fillId="0" borderId="0" xfId="0" applyNumberFormat="1" applyFont="1" applyAlignment="1"/>
    <xf numFmtId="164" fontId="16" fillId="0" borderId="0" xfId="0" applyNumberFormat="1" applyFont="1" applyFill="1" applyAlignment="1">
      <alignment vertical="center" wrapText="1"/>
    </xf>
    <xf numFmtId="0" fontId="23" fillId="0" borderId="0" xfId="0" applyNumberFormat="1" applyFont="1" applyFill="1" applyAlignment="1"/>
    <xf numFmtId="0" fontId="22" fillId="0" borderId="0" xfId="0" applyFont="1" applyFill="1" applyAlignment="1">
      <alignment horizontal="right" vertical="center" wrapText="1"/>
    </xf>
    <xf numFmtId="0" fontId="22" fillId="0" borderId="4" xfId="0" applyFont="1" applyFill="1" applyBorder="1" applyAlignment="1">
      <alignment horizontal="right"/>
    </xf>
    <xf numFmtId="0" fontId="48" fillId="0" borderId="0" xfId="0" applyFont="1" applyFill="1" applyAlignment="1">
      <alignment horizontal="center" vertical="center"/>
    </xf>
    <xf numFmtId="165" fontId="22" fillId="16" borderId="0" xfId="0" applyNumberFormat="1" applyFont="1" applyFill="1" applyAlignment="1">
      <alignment vertical="center" wrapText="1"/>
    </xf>
    <xf numFmtId="164" fontId="16" fillId="17" borderId="0" xfId="0" applyNumberFormat="1" applyFont="1" applyFill="1" applyAlignment="1">
      <alignment horizontal="center" vertical="center" wrapText="1"/>
    </xf>
    <xf numFmtId="165" fontId="22" fillId="17" borderId="0" xfId="0" applyNumberFormat="1" applyFont="1" applyFill="1" applyAlignment="1">
      <alignment vertical="center" wrapText="1"/>
    </xf>
    <xf numFmtId="166" fontId="22" fillId="17" borderId="0" xfId="0" applyNumberFormat="1" applyFont="1" applyFill="1" applyAlignment="1">
      <alignment vertical="center" wrapText="1"/>
    </xf>
    <xf numFmtId="0" fontId="22" fillId="16" borderId="0" xfId="0" applyFont="1" applyFill="1" applyAlignment="1">
      <alignment vertical="center" wrapText="1"/>
    </xf>
    <xf numFmtId="0" fontId="22" fillId="16" borderId="0" xfId="0" applyFont="1" applyFill="1" applyAlignment="1">
      <alignment horizontal="center" vertical="center" wrapText="1"/>
    </xf>
    <xf numFmtId="164" fontId="22" fillId="16" borderId="0" xfId="0" applyNumberFormat="1" applyFont="1" applyFill="1" applyAlignment="1">
      <alignment horizontal="right" vertical="center" wrapText="1"/>
    </xf>
    <xf numFmtId="0" fontId="22" fillId="17" borderId="0" xfId="0" applyFont="1" applyFill="1" applyAlignment="1">
      <alignment vertical="center" wrapText="1"/>
    </xf>
    <xf numFmtId="0" fontId="22" fillId="17" borderId="0" xfId="0" applyFont="1" applyFill="1" applyAlignment="1">
      <alignment horizontal="center" vertical="center" wrapText="1"/>
    </xf>
    <xf numFmtId="164" fontId="22" fillId="17" borderId="0" xfId="0" applyNumberFormat="1" applyFont="1" applyFill="1" applyAlignment="1">
      <alignment horizontal="right" vertical="center" wrapText="1"/>
    </xf>
    <xf numFmtId="164" fontId="22" fillId="17" borderId="4" xfId="0" applyNumberFormat="1" applyFont="1" applyFill="1" applyBorder="1" applyAlignment="1">
      <alignment horizontal="right" vertical="center" wrapText="1"/>
    </xf>
    <xf numFmtId="164" fontId="22" fillId="16" borderId="4" xfId="0" applyNumberFormat="1" applyFont="1" applyFill="1" applyBorder="1" applyAlignment="1">
      <alignment horizontal="right" vertical="center" wrapText="1"/>
    </xf>
    <xf numFmtId="164" fontId="22" fillId="17" borderId="4" xfId="1" applyNumberFormat="1" applyFont="1" applyFill="1" applyBorder="1" applyAlignment="1">
      <alignment horizontal="right" vertical="center" wrapText="1"/>
    </xf>
    <xf numFmtId="164" fontId="22" fillId="16" borderId="4" xfId="1" applyNumberFormat="1" applyFont="1" applyFill="1" applyBorder="1" applyAlignment="1">
      <alignment horizontal="right" vertical="center" wrapText="1"/>
    </xf>
    <xf numFmtId="0" fontId="49" fillId="0" borderId="0" xfId="0" applyFont="1" applyFill="1" applyAlignment="1">
      <alignment horizontal="right"/>
    </xf>
    <xf numFmtId="164" fontId="22" fillId="0" borderId="4" xfId="0" applyNumberFormat="1" applyFont="1" applyFill="1" applyBorder="1" applyAlignment="1">
      <alignment horizontal="right" vertical="center"/>
    </xf>
    <xf numFmtId="0" fontId="22" fillId="6" borderId="0" xfId="0" applyFont="1" applyFill="1" applyAlignment="1">
      <alignment vertical="center" wrapText="1"/>
    </xf>
    <xf numFmtId="164" fontId="16" fillId="0" borderId="0" xfId="1" applyNumberFormat="1" applyFont="1" applyFill="1" applyAlignment="1">
      <alignment horizontal="right" vertical="center" wrapText="1"/>
    </xf>
    <xf numFmtId="0" fontId="22" fillId="0" borderId="4" xfId="0" applyFont="1" applyFill="1" applyBorder="1" applyAlignment="1">
      <alignment horizontal="right" vertical="center"/>
    </xf>
    <xf numFmtId="0" fontId="22" fillId="0" borderId="0" xfId="0" applyNumberFormat="1" applyFont="1" applyFill="1" applyAlignment="1">
      <alignment horizontal="center" vertical="center" wrapText="1"/>
    </xf>
    <xf numFmtId="164" fontId="16" fillId="0" borderId="0" xfId="1" applyNumberFormat="1" applyFont="1" applyFill="1" applyAlignment="1">
      <alignment horizontal="right" vertical="center"/>
    </xf>
    <xf numFmtId="0" fontId="46" fillId="0" borderId="0" xfId="0" applyFont="1" applyFill="1" applyAlignment="1">
      <alignment horizontal="right"/>
    </xf>
    <xf numFmtId="0" fontId="16" fillId="0" borderId="0" xfId="0" applyFont="1" applyAlignment="1"/>
    <xf numFmtId="0" fontId="16" fillId="0" borderId="0" xfId="0" applyFont="1" applyAlignment="1"/>
    <xf numFmtId="0" fontId="22" fillId="6" borderId="0" xfId="0" applyFont="1" applyFill="1" applyAlignment="1">
      <alignment horizontal="center" vertical="center" wrapText="1"/>
    </xf>
    <xf numFmtId="164" fontId="22" fillId="6" borderId="4" xfId="6" applyNumberFormat="1" applyFont="1" applyFill="1" applyBorder="1" applyAlignment="1">
      <alignment horizontal="right" vertical="center" wrapText="1"/>
    </xf>
    <xf numFmtId="164" fontId="22" fillId="6" borderId="0" xfId="0" applyNumberFormat="1" applyFont="1" applyFill="1" applyAlignment="1">
      <alignment horizontal="right" vertical="center"/>
    </xf>
    <xf numFmtId="164" fontId="16" fillId="6" borderId="0" xfId="0" applyNumberFormat="1" applyFont="1" applyFill="1" applyAlignment="1">
      <alignment horizontal="center" vertical="center" wrapText="1"/>
    </xf>
    <xf numFmtId="166" fontId="22" fillId="6" borderId="0" xfId="0" applyNumberFormat="1" applyFont="1" applyFill="1" applyAlignment="1">
      <alignment vertical="center" wrapText="1"/>
    </xf>
    <xf numFmtId="166" fontId="21" fillId="6" borderId="0" xfId="0" applyNumberFormat="1" applyFont="1" applyFill="1" applyAlignment="1">
      <alignment vertical="center" wrapText="1"/>
    </xf>
    <xf numFmtId="0" fontId="22" fillId="6" borderId="0" xfId="0" applyNumberFormat="1" applyFont="1" applyFill="1" applyAlignment="1"/>
    <xf numFmtId="0" fontId="22" fillId="6" borderId="0" xfId="0" applyFont="1" applyFill="1" applyAlignment="1"/>
    <xf numFmtId="164" fontId="22" fillId="6" borderId="0" xfId="0" applyNumberFormat="1" applyFont="1" applyFill="1" applyAlignment="1">
      <alignment horizontal="right" vertical="center" wrapText="1"/>
    </xf>
    <xf numFmtId="0" fontId="16" fillId="6" borderId="0" xfId="0" applyFont="1" applyFill="1" applyAlignment="1">
      <alignment horizontal="right"/>
    </xf>
    <xf numFmtId="0" fontId="16" fillId="6" borderId="0" xfId="0" applyNumberFormat="1" applyFont="1" applyFill="1" applyAlignment="1"/>
    <xf numFmtId="0" fontId="16" fillId="6" borderId="0" xfId="0" applyFont="1" applyFill="1" applyAlignment="1"/>
    <xf numFmtId="166" fontId="22" fillId="6" borderId="0" xfId="0" applyNumberFormat="1" applyFont="1" applyFill="1" applyBorder="1" applyAlignment="1">
      <alignment vertical="center" wrapText="1"/>
    </xf>
    <xf numFmtId="0" fontId="16" fillId="6" borderId="0" xfId="0" applyFont="1" applyFill="1" applyAlignment="1">
      <alignment horizontal="center" vertical="center" wrapText="1"/>
    </xf>
    <xf numFmtId="164" fontId="16" fillId="6" borderId="0" xfId="0" applyNumberFormat="1" applyFont="1" applyFill="1" applyAlignment="1">
      <alignment horizontal="right" vertical="center" wrapText="1"/>
    </xf>
    <xf numFmtId="166" fontId="16" fillId="6" borderId="0" xfId="0" applyNumberFormat="1" applyFont="1" applyFill="1" applyAlignment="1">
      <alignment vertical="center" wrapText="1"/>
    </xf>
    <xf numFmtId="166" fontId="17" fillId="6" borderId="0" xfId="0" applyNumberFormat="1" applyFont="1" applyFill="1" applyAlignment="1">
      <alignment vertical="center" wrapText="1"/>
    </xf>
    <xf numFmtId="0" fontId="2" fillId="0" borderId="0" xfId="0" applyFont="1" applyAlignment="1"/>
    <xf numFmtId="165" fontId="16" fillId="6" borderId="4" xfId="0" applyNumberFormat="1" applyFont="1" applyFill="1" applyBorder="1" applyAlignment="1">
      <alignment vertical="center" wrapText="1"/>
    </xf>
    <xf numFmtId="0" fontId="16" fillId="6" borderId="4" xfId="0" applyFont="1" applyFill="1" applyBorder="1" applyAlignment="1">
      <alignment horizontal="center" vertical="center" wrapText="1"/>
    </xf>
    <xf numFmtId="0" fontId="16" fillId="18" borderId="0" xfId="0" applyFont="1" applyFill="1" applyAlignment="1">
      <alignment horizontal="right" vertical="center" wrapText="1"/>
    </xf>
    <xf numFmtId="0" fontId="16" fillId="6" borderId="0" xfId="0" applyFont="1" applyFill="1" applyBorder="1" applyAlignment="1">
      <alignment vertical="center" wrapText="1"/>
    </xf>
    <xf numFmtId="0" fontId="22" fillId="6" borderId="4" xfId="0" applyFont="1" applyFill="1" applyBorder="1" applyAlignment="1">
      <alignment vertical="center" wrapText="1"/>
    </xf>
    <xf numFmtId="164" fontId="16" fillId="6" borderId="4" xfId="0" applyNumberFormat="1" applyFont="1" applyFill="1" applyBorder="1" applyAlignment="1">
      <alignment horizontal="right" vertical="center" wrapText="1"/>
    </xf>
    <xf numFmtId="165" fontId="22" fillId="6" borderId="4" xfId="0" applyNumberFormat="1" applyFont="1" applyFill="1" applyBorder="1" applyAlignment="1">
      <alignment vertical="center" wrapText="1"/>
    </xf>
    <xf numFmtId="166" fontId="16" fillId="6" borderId="0" xfId="0" applyNumberFormat="1" applyFont="1" applyFill="1" applyBorder="1" applyAlignment="1">
      <alignment vertical="center" wrapText="1"/>
    </xf>
    <xf numFmtId="166" fontId="17" fillId="6" borderId="4" xfId="0" applyNumberFormat="1" applyFont="1" applyFill="1" applyBorder="1" applyAlignment="1">
      <alignment vertical="center" wrapText="1"/>
    </xf>
    <xf numFmtId="0" fontId="16" fillId="6" borderId="4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/>
    </xf>
    <xf numFmtId="165" fontId="22" fillId="0" borderId="4" xfId="0" applyNumberFormat="1" applyFont="1" applyFill="1" applyBorder="1" applyAlignment="1">
      <alignment horizontal="center" vertical="center" wrapText="1"/>
    </xf>
    <xf numFmtId="0" fontId="22" fillId="0" borderId="4" xfId="0" applyNumberFormat="1" applyFont="1" applyFill="1" applyBorder="1" applyAlignment="1">
      <alignment horizontal="right" vertical="center" wrapText="1"/>
    </xf>
    <xf numFmtId="165" fontId="22" fillId="0" borderId="4" xfId="0" applyNumberFormat="1" applyFont="1" applyFill="1" applyBorder="1" applyAlignment="1">
      <alignment horizontal="right" vertical="center" wrapText="1"/>
    </xf>
    <xf numFmtId="164" fontId="16" fillId="6" borderId="0" xfId="0" applyNumberFormat="1" applyFont="1" applyFill="1" applyAlignment="1">
      <alignment horizontal="right" vertical="center"/>
    </xf>
    <xf numFmtId="164" fontId="16" fillId="18" borderId="0" xfId="0" applyNumberFormat="1" applyFont="1" applyFill="1" applyAlignment="1">
      <alignment horizontal="right" vertical="center" wrapText="1"/>
    </xf>
    <xf numFmtId="0" fontId="16" fillId="18" borderId="4" xfId="0" applyFont="1" applyFill="1" applyBorder="1" applyAlignment="1">
      <alignment horizontal="right" vertical="center"/>
    </xf>
    <xf numFmtId="164" fontId="16" fillId="6" borderId="0" xfId="0" applyNumberFormat="1" applyFont="1" applyFill="1" applyAlignment="1">
      <alignment horizontal="right"/>
    </xf>
    <xf numFmtId="0" fontId="8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4" fillId="0" borderId="0" xfId="0" applyFont="1" applyAlignment="1">
      <alignment horizontal="center" vertical="center"/>
    </xf>
    <xf numFmtId="0" fontId="13" fillId="0" borderId="4" xfId="0" applyFont="1" applyBorder="1" applyAlignment="1">
      <alignment horizontal="center" wrapText="1"/>
    </xf>
    <xf numFmtId="0" fontId="17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6" fillId="0" borderId="0" xfId="0" applyFont="1" applyAlignment="1"/>
    <xf numFmtId="0" fontId="17" fillId="4" borderId="1" xfId="0" applyFont="1" applyFill="1" applyBorder="1" applyAlignment="1">
      <alignment horizontal="right" vertical="center" wrapText="1"/>
    </xf>
    <xf numFmtId="0" fontId="22" fillId="0" borderId="2" xfId="0" applyFont="1" applyBorder="1" applyAlignment="1">
      <alignment horizontal="right"/>
    </xf>
    <xf numFmtId="0" fontId="22" fillId="0" borderId="3" xfId="0" applyFont="1" applyBorder="1" applyAlignment="1">
      <alignment horizontal="right"/>
    </xf>
    <xf numFmtId="0" fontId="17" fillId="0" borderId="0" xfId="0" applyFont="1" applyAlignment="1">
      <alignment horizontal="center" wrapText="1"/>
    </xf>
    <xf numFmtId="0" fontId="41" fillId="4" borderId="4" xfId="0" applyFont="1" applyFill="1" applyBorder="1" applyAlignment="1">
      <alignment horizontal="center" vertical="center" wrapText="1"/>
    </xf>
    <xf numFmtId="0" fontId="38" fillId="14" borderId="4" xfId="0" applyFont="1" applyFill="1" applyBorder="1" applyAlignment="1">
      <alignment horizontal="right"/>
    </xf>
    <xf numFmtId="0" fontId="16" fillId="17" borderId="0" xfId="0" applyFont="1" applyFill="1" applyAlignment="1">
      <alignment vertical="center" wrapText="1"/>
    </xf>
    <xf numFmtId="0" fontId="35" fillId="0" borderId="0" xfId="0" applyFont="1" applyFill="1" applyAlignment="1">
      <alignment horizontal="center" vertical="center" wrapText="1"/>
    </xf>
    <xf numFmtId="164" fontId="35" fillId="0" borderId="0" xfId="0" applyNumberFormat="1" applyFont="1" applyFill="1" applyAlignment="1">
      <alignment horizontal="center" vertical="center" wrapText="1"/>
    </xf>
    <xf numFmtId="165" fontId="35" fillId="0" borderId="0" xfId="0" applyNumberFormat="1" applyFont="1" applyFill="1" applyAlignment="1">
      <alignment vertical="center" wrapText="1"/>
    </xf>
    <xf numFmtId="166" fontId="35" fillId="0" borderId="0" xfId="0" applyNumberFormat="1" applyFont="1" applyFill="1" applyAlignment="1">
      <alignment vertical="center" wrapText="1"/>
    </xf>
    <xf numFmtId="0" fontId="35" fillId="0" borderId="0" xfId="0" applyFont="1" applyFill="1" applyAlignment="1"/>
    <xf numFmtId="166" fontId="16" fillId="6" borderId="4" xfId="0" applyNumberFormat="1" applyFont="1" applyFill="1" applyBorder="1" applyAlignment="1">
      <alignment vertical="center" wrapText="1"/>
    </xf>
    <xf numFmtId="0" fontId="35" fillId="0" borderId="0" xfId="0" applyNumberFormat="1" applyFont="1" applyFill="1" applyAlignment="1"/>
    <xf numFmtId="0" fontId="35" fillId="6" borderId="0" xfId="0" applyFont="1" applyFill="1" applyAlignment="1">
      <alignment vertical="center" wrapText="1"/>
    </xf>
    <xf numFmtId="0" fontId="35" fillId="6" borderId="0" xfId="0" applyFont="1" applyFill="1" applyAlignment="1">
      <alignment horizontal="center" vertical="center" wrapText="1"/>
    </xf>
    <xf numFmtId="164" fontId="35" fillId="6" borderId="0" xfId="0" applyNumberFormat="1" applyFont="1" applyFill="1" applyAlignment="1">
      <alignment horizontal="right" vertical="center" wrapText="1"/>
    </xf>
    <xf numFmtId="0" fontId="35" fillId="6" borderId="0" xfId="0" applyFont="1" applyFill="1" applyAlignment="1">
      <alignment horizontal="right"/>
    </xf>
    <xf numFmtId="164" fontId="35" fillId="6" borderId="0" xfId="0" applyNumberFormat="1" applyFont="1" applyFill="1" applyAlignment="1">
      <alignment horizontal="center" vertical="center" wrapText="1"/>
    </xf>
    <xf numFmtId="165" fontId="35" fillId="6" borderId="0" xfId="0" applyNumberFormat="1" applyFont="1" applyFill="1" applyAlignment="1">
      <alignment vertical="center" wrapText="1"/>
    </xf>
    <xf numFmtId="166" fontId="35" fillId="6" borderId="0" xfId="0" applyNumberFormat="1" applyFont="1" applyFill="1" applyAlignment="1">
      <alignment vertical="center" wrapText="1"/>
    </xf>
    <xf numFmtId="0" fontId="35" fillId="6" borderId="0" xfId="0" applyFont="1" applyFill="1" applyAlignment="1"/>
    <xf numFmtId="164" fontId="35" fillId="6" borderId="4" xfId="6" applyNumberFormat="1" applyFont="1" applyFill="1" applyBorder="1" applyAlignment="1">
      <alignment horizontal="right" vertical="center" wrapText="1"/>
    </xf>
    <xf numFmtId="166" fontId="43" fillId="6" borderId="0" xfId="0" applyNumberFormat="1" applyFont="1" applyFill="1" applyAlignment="1">
      <alignment vertical="center" wrapText="1"/>
    </xf>
    <xf numFmtId="164" fontId="35" fillId="6" borderId="0" xfId="0" applyNumberFormat="1" applyFont="1" applyFill="1" applyAlignment="1">
      <alignment horizontal="right" vertical="center"/>
    </xf>
    <xf numFmtId="164" fontId="35" fillId="18" borderId="4" xfId="6" applyNumberFormat="1" applyFont="1" applyFill="1" applyBorder="1" applyAlignment="1">
      <alignment horizontal="right" vertical="center" wrapText="1"/>
    </xf>
    <xf numFmtId="0" fontId="35" fillId="19" borderId="0" xfId="0" applyFont="1" applyFill="1" applyAlignment="1">
      <alignment horizontal="right"/>
    </xf>
    <xf numFmtId="164" fontId="22" fillId="18" borderId="0" xfId="0" applyNumberFormat="1" applyFont="1" applyFill="1" applyAlignment="1">
      <alignment horizontal="right" vertical="center" wrapText="1"/>
    </xf>
    <xf numFmtId="165" fontId="16" fillId="6" borderId="0" xfId="0" applyNumberFormat="1" applyFont="1" applyFill="1" applyAlignment="1">
      <alignment vertical="center" wrapText="1"/>
    </xf>
    <xf numFmtId="0" fontId="16" fillId="6" borderId="0" xfId="0" applyFont="1" applyFill="1"/>
    <xf numFmtId="0" fontId="22" fillId="6" borderId="0" xfId="0" applyFont="1" applyFill="1" applyAlignment="1">
      <alignment horizontal="right"/>
    </xf>
    <xf numFmtId="164" fontId="22" fillId="6" borderId="0" xfId="0" applyNumberFormat="1" applyFont="1" applyFill="1" applyAlignment="1">
      <alignment horizontal="center" vertical="center" wrapText="1"/>
    </xf>
    <xf numFmtId="0" fontId="16" fillId="18" borderId="0" xfId="0" applyFont="1" applyFill="1" applyAlignment="1">
      <alignment horizontal="right"/>
    </xf>
    <xf numFmtId="165" fontId="22" fillId="18" borderId="0" xfId="0" applyNumberFormat="1" applyFont="1" applyFill="1" applyAlignment="1">
      <alignment vertical="center" wrapText="1"/>
    </xf>
    <xf numFmtId="164" fontId="22" fillId="6" borderId="0" xfId="0" applyNumberFormat="1" applyFont="1" applyFill="1" applyAlignment="1">
      <alignment horizontal="right" wrapText="1"/>
    </xf>
    <xf numFmtId="0" fontId="22" fillId="6" borderId="0" xfId="0" applyFont="1" applyFill="1" applyAlignment="1">
      <alignment horizontal="right" vertical="center"/>
    </xf>
    <xf numFmtId="166" fontId="22" fillId="6" borderId="0" xfId="0" applyNumberFormat="1" applyFont="1" applyFill="1" applyAlignment="1">
      <alignment horizontal="right" vertical="center" wrapText="1"/>
    </xf>
    <xf numFmtId="43" fontId="22" fillId="6" borderId="0" xfId="0" applyNumberFormat="1" applyFont="1" applyFill="1" applyAlignment="1">
      <alignment vertical="center" wrapText="1"/>
    </xf>
    <xf numFmtId="166" fontId="22" fillId="6" borderId="0" xfId="0" applyNumberFormat="1" applyFont="1" applyFill="1" applyAlignment="1">
      <alignment horizontal="center" vertical="center" wrapText="1"/>
    </xf>
    <xf numFmtId="0" fontId="22" fillId="6" borderId="0" xfId="0" applyNumberFormat="1" applyFont="1" applyFill="1" applyAlignment="1">
      <alignment vertical="center"/>
    </xf>
    <xf numFmtId="0" fontId="22" fillId="6" borderId="0" xfId="0" applyFont="1" applyFill="1" applyAlignment="1">
      <alignment vertical="center"/>
    </xf>
    <xf numFmtId="0" fontId="1" fillId="0" borderId="0" xfId="0" applyFont="1" applyAlignment="1"/>
    <xf numFmtId="0" fontId="16" fillId="6" borderId="0" xfId="0" applyFont="1" applyFill="1" applyBorder="1" applyAlignment="1">
      <alignment horizontal="center" vertical="center" wrapText="1"/>
    </xf>
    <xf numFmtId="0" fontId="16" fillId="6" borderId="0" xfId="0" applyFont="1" applyFill="1" applyBorder="1" applyAlignment="1">
      <alignment horizontal="right"/>
    </xf>
    <xf numFmtId="164" fontId="16" fillId="6" borderId="0" xfId="0" applyNumberFormat="1" applyFont="1" applyFill="1" applyBorder="1" applyAlignment="1">
      <alignment horizontal="right" vertical="center" wrapText="1"/>
    </xf>
    <xf numFmtId="0" fontId="16" fillId="6" borderId="4" xfId="0" applyFont="1" applyFill="1" applyBorder="1" applyAlignment="1">
      <alignment horizontal="right"/>
    </xf>
    <xf numFmtId="164" fontId="16" fillId="18" borderId="0" xfId="0" applyNumberFormat="1" applyFont="1" applyFill="1" applyBorder="1" applyAlignment="1">
      <alignment horizontal="right" vertical="center" wrapText="1"/>
    </xf>
    <xf numFmtId="0" fontId="16" fillId="6" borderId="0" xfId="0" applyFont="1" applyFill="1" applyAlignment="1">
      <alignment horizontal="right" vertical="center"/>
    </xf>
    <xf numFmtId="3" fontId="16" fillId="6" borderId="0" xfId="0" applyNumberFormat="1" applyFont="1" applyFill="1" applyAlignment="1">
      <alignment horizontal="right" vertical="center" wrapText="1"/>
    </xf>
    <xf numFmtId="3" fontId="16" fillId="6" borderId="0" xfId="0" applyNumberFormat="1" applyFont="1" applyFill="1" applyAlignment="1">
      <alignment horizontal="right" vertical="center"/>
    </xf>
    <xf numFmtId="0" fontId="16" fillId="6" borderId="0" xfId="0" applyNumberFormat="1" applyFont="1" applyFill="1" applyAlignment="1">
      <alignment vertical="center"/>
    </xf>
    <xf numFmtId="0" fontId="16" fillId="6" borderId="0" xfId="0" applyFont="1" applyFill="1" applyAlignment="1">
      <alignment vertical="center"/>
    </xf>
    <xf numFmtId="0" fontId="50" fillId="6" borderId="0" xfId="0" applyFont="1" applyFill="1" applyAlignment="1">
      <alignment horizontal="right"/>
    </xf>
    <xf numFmtId="43" fontId="16" fillId="6" borderId="0" xfId="1" applyFont="1" applyFill="1" applyAlignment="1">
      <alignment horizontal="right"/>
    </xf>
    <xf numFmtId="43" fontId="16" fillId="6" borderId="0" xfId="1" applyFont="1" applyFill="1" applyAlignment="1">
      <alignment horizontal="right" vertical="center" wrapText="1"/>
    </xf>
    <xf numFmtId="164" fontId="22" fillId="6" borderId="0" xfId="1" applyNumberFormat="1" applyFont="1" applyFill="1" applyAlignment="1">
      <alignment horizontal="right" vertical="center" wrapText="1"/>
    </xf>
    <xf numFmtId="0" fontId="0" fillId="6" borderId="0" xfId="0" applyNumberFormat="1" applyFont="1" applyFill="1" applyAlignment="1"/>
    <xf numFmtId="0" fontId="0" fillId="6" borderId="0" xfId="0" applyFont="1" applyFill="1" applyAlignment="1"/>
    <xf numFmtId="0" fontId="16" fillId="18" borderId="0" xfId="0" applyFont="1" applyFill="1" applyAlignment="1">
      <alignment horizontal="center"/>
    </xf>
    <xf numFmtId="0" fontId="17" fillId="6" borderId="4" xfId="0" applyFont="1" applyFill="1" applyBorder="1" applyAlignment="1">
      <alignment horizontal="center" vertical="center" wrapText="1"/>
    </xf>
    <xf numFmtId="165" fontId="22" fillId="6" borderId="0" xfId="0" applyNumberFormat="1" applyFont="1" applyFill="1" applyBorder="1" applyAlignment="1">
      <alignment vertical="center" wrapText="1"/>
    </xf>
    <xf numFmtId="166" fontId="17" fillId="6" borderId="0" xfId="0" applyNumberFormat="1" applyFont="1" applyFill="1" applyBorder="1" applyAlignment="1">
      <alignment vertical="center" wrapText="1"/>
    </xf>
    <xf numFmtId="0" fontId="34" fillId="6" borderId="0" xfId="0" applyFont="1" applyFill="1" applyAlignment="1">
      <alignment vertical="center"/>
    </xf>
    <xf numFmtId="0" fontId="51" fillId="6" borderId="0" xfId="0" applyFont="1" applyFill="1" applyAlignment="1">
      <alignment horizontal="right"/>
    </xf>
    <xf numFmtId="0" fontId="16" fillId="6" borderId="0" xfId="0" applyFont="1" applyFill="1" applyAlignment="1">
      <alignment horizontal="center" vertical="center"/>
    </xf>
    <xf numFmtId="0" fontId="22" fillId="6" borderId="4" xfId="0" applyFont="1" applyFill="1" applyBorder="1" applyAlignment="1">
      <alignment horizontal="right"/>
    </xf>
    <xf numFmtId="0" fontId="22" fillId="6" borderId="4" xfId="0" applyFont="1" applyFill="1" applyBorder="1" applyAlignment="1">
      <alignment horizontal="center" vertical="center" wrapText="1"/>
    </xf>
    <xf numFmtId="43" fontId="3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 vertical="center" wrapText="1"/>
    </xf>
    <xf numFmtId="0" fontId="35" fillId="0" borderId="4" xfId="0" applyFont="1" applyFill="1" applyBorder="1" applyAlignment="1">
      <alignment horizontal="center" vertical="center" wrapText="1"/>
    </xf>
    <xf numFmtId="164" fontId="16" fillId="6" borderId="4" xfId="6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left"/>
    </xf>
    <xf numFmtId="0" fontId="15" fillId="0" borderId="5" xfId="0" applyFont="1" applyFill="1" applyBorder="1" applyAlignment="1">
      <alignment vertical="center" wrapText="1"/>
    </xf>
  </cellXfs>
  <cellStyles count="42">
    <cellStyle name="Millares" xfId="1" builtinId="3"/>
    <cellStyle name="Millares 2" xfId="3"/>
    <cellStyle name="Millares 2 2" xfId="24"/>
    <cellStyle name="Millares 3" xfId="22"/>
    <cellStyle name="Moneda 2" xfId="9"/>
    <cellStyle name="Moneda 2 2" xfId="30"/>
    <cellStyle name="Moneda 3" xfId="18"/>
    <cellStyle name="Moneda 3 2" xfId="39"/>
    <cellStyle name="Normal" xfId="0" builtinId="0"/>
    <cellStyle name="Normal 10" xfId="14"/>
    <cellStyle name="Normal 10 2" xfId="35"/>
    <cellStyle name="Normal 11" xfId="15"/>
    <cellStyle name="Normal 11 2" xfId="36"/>
    <cellStyle name="Normal 12" xfId="16"/>
    <cellStyle name="Normal 12 2" xfId="37"/>
    <cellStyle name="Normal 13" xfId="17"/>
    <cellStyle name="Normal 13 2" xfId="38"/>
    <cellStyle name="Normal 14" xfId="19"/>
    <cellStyle name="Normal 14 2" xfId="40"/>
    <cellStyle name="Normal 15" xfId="21"/>
    <cellStyle name="Normal 2" xfId="2"/>
    <cellStyle name="Normal 2 2" xfId="7"/>
    <cellStyle name="Normal 2 2 2" xfId="28"/>
    <cellStyle name="Normal 2 3" xfId="23"/>
    <cellStyle name="Normal 3" xfId="6"/>
    <cellStyle name="Normal 3 2" xfId="27"/>
    <cellStyle name="Normal 4" xfId="4"/>
    <cellStyle name="Normal 4 2" xfId="25"/>
    <cellStyle name="Normal 5" xfId="5"/>
    <cellStyle name="Normal 5 2" xfId="26"/>
    <cellStyle name="Normal 6" xfId="10"/>
    <cellStyle name="Normal 6 2" xfId="31"/>
    <cellStyle name="Normal 7" xfId="11"/>
    <cellStyle name="Normal 7 2" xfId="32"/>
    <cellStyle name="Normal 8" xfId="12"/>
    <cellStyle name="Normal 8 2" xfId="33"/>
    <cellStyle name="Normal 9" xfId="13"/>
    <cellStyle name="Normal 9 2" xfId="34"/>
    <cellStyle name="Porcentaje 2" xfId="8"/>
    <cellStyle name="Porcentaje 2 2" xfId="29"/>
    <cellStyle name="Porcentaje 3" xfId="20"/>
    <cellStyle name="Porcentaje 3 2" xfId="41"/>
  </cellStyles>
  <dxfs count="118">
    <dxf>
      <font>
        <strike val="0"/>
        <outline val="0"/>
        <shadow val="0"/>
        <u val="none"/>
        <vertAlign val="baseline"/>
        <sz val="12"/>
        <name val="Arial Narrow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strike val="0"/>
        <outline val="0"/>
        <shadow val="0"/>
        <u val="none"/>
        <vertAlign val="baseline"/>
        <sz val="12"/>
        <color auto="1"/>
        <name val="Arial Narrow"/>
        <scheme val="none"/>
      </font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  <alignment horizontal="center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  <alignment horizontal="right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  <alignment horizontal="right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  <alignment horizontal="right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  <alignment horizontal="right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theme="4"/>
          <bgColor theme="4"/>
        </patternFill>
      </fill>
    </dxf>
  </dxfs>
  <tableStyles count="33">
    <tableStyle name="PACC 2024-style" pivot="0" count="3">
      <tableStyleElement type="headerRow" dxfId="117"/>
      <tableStyleElement type="firstRowStripe" dxfId="116"/>
      <tableStyleElement type="secondRowStripe" dxfId="115"/>
    </tableStyle>
    <tableStyle name="PACC 2024 Sumado-style" pivot="0" count="3">
      <tableStyleElement type="headerRow" dxfId="114"/>
      <tableStyleElement type="firstRowStripe" dxfId="113"/>
      <tableStyleElement type="secondRowStripe" dxfId="112"/>
    </tableStyle>
    <tableStyle name="PACC 2022-style" pivot="0" count="3">
      <tableStyleElement type="headerRow" dxfId="111"/>
      <tableStyleElement type="firstRowStripe" dxfId="110"/>
      <tableStyleElement type="secondRowStripe" dxfId="109"/>
    </tableStyle>
    <tableStyle name="TRIMESTRE ENERO-MARZO-style" pivot="0" count="3">
      <tableStyleElement type="headerRow" dxfId="108"/>
      <tableStyleElement type="firstRowStripe" dxfId="107"/>
      <tableStyleElement type="secondRowStripe" dxfId="106"/>
    </tableStyle>
    <tableStyle name="TRIMESTRE ABRIL-JUNIO-style" pivot="0" count="3">
      <tableStyleElement type="headerRow" dxfId="105"/>
      <tableStyleElement type="firstRowStripe" dxfId="104"/>
      <tableStyleElement type="secondRowStripe" dxfId="103"/>
    </tableStyle>
    <tableStyle name="TRIMESTRE JULIO - SEPTIEMBRE-style" pivot="0" count="3">
      <tableStyleElement type="headerRow" dxfId="102"/>
      <tableStyleElement type="firstRowStripe" dxfId="101"/>
      <tableStyleElement type="secondRowStripe" dxfId="100"/>
    </tableStyle>
    <tableStyle name="TRIMESTRE OCTUBRE - DICIEMBRE-style" pivot="0" count="3">
      <tableStyleElement type="headerRow" dxfId="99"/>
      <tableStyleElement type="firstRowStripe" dxfId="98"/>
      <tableStyleElement type="secondRowStripe" dxfId="97"/>
    </tableStyle>
    <tableStyle name="TI-style" pivot="0" count="3">
      <tableStyleElement type="headerRow" dxfId="96"/>
      <tableStyleElement type="firstRowStripe" dxfId="95"/>
      <tableStyleElement type="secondRowStripe" dxfId="94"/>
    </tableStyle>
    <tableStyle name="RRHH-style" pivot="0" count="3">
      <tableStyleElement type="headerRow" dxfId="93"/>
      <tableStyleElement type="firstRowStripe" dxfId="92"/>
      <tableStyleElement type="secondRowStripe" dxfId="91"/>
    </tableStyle>
    <tableStyle name="DE-style" pivot="0" count="3">
      <tableStyleElement type="headerRow" dxfId="90"/>
      <tableStyleElement type="firstRowStripe" dxfId="89"/>
      <tableStyleElement type="secondRowStripe" dxfId="88"/>
    </tableStyle>
    <tableStyle name="DPyD-style" pivot="0" count="3">
      <tableStyleElement type="headerRow" dxfId="87"/>
      <tableStyleElement type="firstRowStripe" dxfId="86"/>
      <tableStyleElement type="secondRowStripe" dxfId="85"/>
    </tableStyle>
    <tableStyle name="D. Comercial-style" pivot="0" count="3">
      <tableStyleElement type="headerRow" dxfId="84"/>
      <tableStyleElement type="firstRowStripe" dxfId="83"/>
      <tableStyleElement type="secondRowStripe" dxfId="82"/>
    </tableStyle>
    <tableStyle name="Preliminar-style" pivot="0" count="3">
      <tableStyleElement type="headerRow" dxfId="81"/>
      <tableStyleElement type="firstRowStripe" dxfId="80"/>
      <tableStyleElement type="secondRowStripe" dxfId="79"/>
    </tableStyle>
    <tableStyle name="DPPE-style" pivot="0" count="3">
      <tableStyleElement type="headerRow" dxfId="78"/>
      <tableStyleElement type="firstRowStripe" dxfId="77"/>
      <tableStyleElement type="secondRowStripe" dxfId="76"/>
    </tableStyle>
    <tableStyle name="DRRHH-style" pivot="0" count="3">
      <tableStyleElement type="headerRow" dxfId="75"/>
      <tableStyleElement type="firstRowStripe" dxfId="74"/>
      <tableStyleElement type="secondRowStripe" dxfId="73"/>
    </tableStyle>
    <tableStyle name="DT-style" pivot="0" count="3">
      <tableStyleElement type="headerRow" dxfId="72"/>
      <tableStyleElement type="firstRowStripe" dxfId="71"/>
      <tableStyleElement type="secondRowStripe" dxfId="70"/>
    </tableStyle>
    <tableStyle name="DF-style" pivot="0" count="3">
      <tableStyleElement type="headerRow" dxfId="69"/>
      <tableStyleElement type="firstRowStripe" dxfId="68"/>
      <tableStyleElement type="secondRowStripe" dxfId="67"/>
    </tableStyle>
    <tableStyle name="DA-style" pivot="0" count="3">
      <tableStyleElement type="headerRow" dxfId="66"/>
      <tableStyleElement type="firstRowStripe" dxfId="65"/>
      <tableStyleElement type="secondRowStripe" dxfId="64"/>
    </tableStyle>
    <tableStyle name="D. TIC-style" pivot="0" count="3">
      <tableStyleElement type="headerRow" dxfId="63"/>
      <tableStyleElement type="firstRowStripe" dxfId="62"/>
      <tableStyleElement type="secondRowStripe" dxfId="61"/>
    </tableStyle>
    <tableStyle name="DCalidad A-style" pivot="0" count="3">
      <tableStyleElement type="headerRow" dxfId="60"/>
      <tableStyleElement type="firstRowStripe" dxfId="59"/>
      <tableStyleElement type="secondRowStripe" dxfId="58"/>
    </tableStyle>
    <tableStyle name="DDProv.-style" pivot="0" count="3">
      <tableStyleElement type="headerRow" dxfId="57"/>
      <tableStyleElement type="firstRowStripe" dxfId="56"/>
      <tableStyleElement type="secondRowStripe" dxfId="55"/>
    </tableStyle>
    <tableStyle name="D.ING-style" pivot="0" count="3">
      <tableStyleElement type="headerRow" dxfId="54"/>
      <tableStyleElement type="firstRowStripe" dxfId="53"/>
      <tableStyleElement type="secondRowStripe" dxfId="52"/>
    </tableStyle>
    <tableStyle name="D.Opaciones-style" pivot="0" count="3">
      <tableStyleElement type="headerRow" dxfId="51"/>
      <tableStyleElement type="firstRowStripe" dxfId="50"/>
      <tableStyleElement type="secondRowStripe" dxfId="49"/>
    </tableStyle>
    <tableStyle name="DSFO-style" pivot="0" count="3">
      <tableStyleElement type="headerRow" dxfId="48"/>
      <tableStyleElement type="firstRowStripe" dxfId="47"/>
      <tableStyleElement type="secondRowStripe" dxfId="46"/>
    </tableStyle>
    <tableStyle name="Dpt. Comun.-style" pivot="0" count="3">
      <tableStyleElement type="headerRow" dxfId="45"/>
      <tableStyleElement type="firstRowStripe" dxfId="44"/>
      <tableStyleElement type="secondRowStripe" dxfId="43"/>
    </tableStyle>
    <tableStyle name="Dpto. Estadística-style" pivot="0" count="3">
      <tableStyleElement type="headerRow" dxfId="42"/>
      <tableStyleElement type="firstRowStripe" dxfId="41"/>
      <tableStyleElement type="secondRowStripe" dxfId="40"/>
    </tableStyle>
    <tableStyle name="Dpto. Jurídico-style" pivot="0" count="3">
      <tableStyleElement type="headerRow" dxfId="39"/>
      <tableStyleElement type="firstRowStripe" dxfId="38"/>
      <tableStyleElement type="secondRowStripe" dxfId="37"/>
    </tableStyle>
    <tableStyle name="OAI-style" pivot="0" count="3">
      <tableStyleElement type="headerRow" dxfId="36"/>
      <tableStyleElement type="firstRowStripe" dxfId="35"/>
      <tableStyleElement type="secondRowStripe" dxfId="34"/>
    </tableStyle>
    <tableStyle name="Dpto. Rev. Cont.-style" pivot="0" count="3">
      <tableStyleElement type="headerRow" dxfId="33"/>
      <tableStyleElement type="firstRowStripe" dxfId="32"/>
      <tableStyleElement type="secondRowStripe" dxfId="31"/>
    </tableStyle>
    <tableStyle name="Of. Eq. G-style" pivot="0" count="3">
      <tableStyleElement type="headerRow" dxfId="30"/>
      <tableStyleElement type="firstRowStripe" dxfId="29"/>
      <tableStyleElement type="secondRowStripe" dxfId="28"/>
    </tableStyle>
    <tableStyle name="Comite Etica-style" pivot="0" count="3">
      <tableStyleElement type="headerRow" dxfId="27"/>
      <tableStyleElement type="firstRowStripe" dxfId="26"/>
      <tableStyleElement type="secondRowStripe" dxfId="25"/>
    </tableStyle>
    <tableStyle name="PACC 2023 T1-style" pivot="0" count="3">
      <tableStyleElement type="headerRow" dxfId="24"/>
      <tableStyleElement type="firstRowStripe" dxfId="23"/>
      <tableStyleElement type="secondRowStripe" dxfId="22"/>
    </tableStyle>
    <tableStyle name="PACC 2023-style" pivot="0" count="3">
      <tableStyleElement type="headerRow" dxfId="21"/>
      <tableStyleElement type="firstRowStripe" dxfId="20"/>
      <tableStyleElement type="secondRowStripe" dxfId="19"/>
    </tableStyle>
  </tableStyles>
  <colors>
    <mruColors>
      <color rgb="FFC23098"/>
      <color rgb="FF2EE5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" name="Table_1" displayName="Table_1" ref="A7:P1601" headerRowDxfId="18" dataDxfId="17" totalsRowDxfId="16">
  <autoFilter ref="A7:P1601"/>
  <tableColumns count="16">
    <tableColumn id="1" name="Column1" dataDxfId="15"/>
    <tableColumn id="2" name="Column2" dataDxfId="0"/>
    <tableColumn id="3" name="Column3" dataDxfId="14"/>
    <tableColumn id="4" name="Column4" dataDxfId="13"/>
    <tableColumn id="5" name="Column5" dataDxfId="12"/>
    <tableColumn id="6" name="Column6" dataDxfId="11"/>
    <tableColumn id="7" name="Column7" dataDxfId="10"/>
    <tableColumn id="8" name="Column8" dataDxfId="9"/>
    <tableColumn id="9" name="Column9" dataDxfId="8"/>
    <tableColumn id="10" name="Column10" dataDxfId="7"/>
    <tableColumn id="11" name="Column11" dataDxfId="6"/>
    <tableColumn id="12" name="Column12" dataDxfId="5"/>
    <tableColumn id="13" name="Column13" dataDxfId="4"/>
    <tableColumn id="14" name="Column14" dataDxfId="3"/>
    <tableColumn id="15" name="Column15" dataDxfId="2"/>
    <tableColumn id="20" name="Column20" dataDxfId="1"/>
  </tableColumns>
  <tableStyleInfo name="PACC 2024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XFD985"/>
  <sheetViews>
    <sheetView view="pageBreakPreview" topLeftCell="B106" zoomScale="145" zoomScaleNormal="145" zoomScaleSheetLayoutView="145" workbookViewId="0">
      <selection activeCell="C127" sqref="C127"/>
    </sheetView>
  </sheetViews>
  <sheetFormatPr baseColWidth="10" defaultColWidth="14.453125" defaultRowHeight="15" customHeight="1"/>
  <cols>
    <col min="1" max="1" width="4.54296875" style="49" hidden="1" customWidth="1"/>
    <col min="2" max="2" width="5" customWidth="1"/>
    <col min="3" max="3" width="67" bestFit="1" customWidth="1"/>
    <col min="4" max="4" width="19.54296875" customWidth="1"/>
    <col min="5" max="5" width="23.453125" style="116" customWidth="1"/>
    <col min="6" max="6" width="17.1796875" customWidth="1"/>
    <col min="7" max="7" width="16.1796875" customWidth="1"/>
  </cols>
  <sheetData>
    <row r="1" spans="1:27 16384:16384" s="49" customFormat="1" ht="15" customHeight="1">
      <c r="E1" s="116"/>
      <c r="F1" s="56"/>
      <c r="G1" s="56"/>
      <c r="H1" s="56"/>
    </row>
    <row r="2" spans="1:27 16384:16384" ht="21" customHeight="1">
      <c r="B2" s="447"/>
      <c r="C2" s="447"/>
      <c r="D2" s="447"/>
      <c r="F2" s="56"/>
      <c r="G2" s="56"/>
      <c r="H2" s="56"/>
    </row>
    <row r="3" spans="1:27 16384:16384" ht="15" customHeight="1">
      <c r="F3" s="56"/>
      <c r="G3" s="56"/>
      <c r="H3" s="56"/>
    </row>
    <row r="4" spans="1:27 16384:16384" ht="27.75" customHeight="1">
      <c r="F4" s="59"/>
      <c r="G4" s="59"/>
      <c r="H4" s="56"/>
    </row>
    <row r="5" spans="1:27 16384:16384" ht="18.5">
      <c r="B5" s="448" t="s">
        <v>880</v>
      </c>
      <c r="C5" s="448"/>
      <c r="D5" s="448"/>
      <c r="F5" s="59"/>
      <c r="G5" s="59"/>
      <c r="H5" s="56"/>
    </row>
    <row r="6" spans="1:27 16384:16384" ht="18.75" customHeight="1">
      <c r="B6" s="448" t="s">
        <v>879</v>
      </c>
      <c r="C6" s="448"/>
      <c r="D6" s="448"/>
      <c r="F6" s="59"/>
      <c r="G6" s="59"/>
      <c r="H6" s="56"/>
    </row>
    <row r="7" spans="1:27 16384:16384" ht="22" customHeight="1">
      <c r="B7" s="20"/>
      <c r="C7" s="21"/>
      <c r="D7" s="169"/>
      <c r="F7" s="59"/>
      <c r="G7" s="59"/>
      <c r="H7" s="56"/>
    </row>
    <row r="8" spans="1:27 16384:16384" ht="14.5">
      <c r="B8" s="23" t="s">
        <v>0</v>
      </c>
      <c r="C8" s="23" t="s">
        <v>1</v>
      </c>
      <c r="D8" s="24" t="s">
        <v>392</v>
      </c>
      <c r="E8" s="115"/>
      <c r="F8" s="59"/>
      <c r="G8" s="59"/>
      <c r="H8" s="56"/>
    </row>
    <row r="9" spans="1:27 16384:16384" s="41" customFormat="1" ht="14.5">
      <c r="A9" s="27"/>
      <c r="B9" s="218">
        <v>1</v>
      </c>
      <c r="C9" s="219" t="s">
        <v>639</v>
      </c>
      <c r="D9" s="219">
        <f>+'PACC GENERAL 2026'!K11</f>
        <v>135000</v>
      </c>
      <c r="XFD9" s="220"/>
    </row>
    <row r="10" spans="1:27 16384:16384" s="18" customFormat="1" ht="14.5">
      <c r="B10" s="27">
        <f>1+B9</f>
        <v>2</v>
      </c>
      <c r="C10" s="25" t="s">
        <v>532</v>
      </c>
      <c r="D10" s="26">
        <f>+'PACC GENERAL 2026'!K13</f>
        <v>97500</v>
      </c>
      <c r="E10" s="117"/>
      <c r="F10" s="60"/>
      <c r="G10" s="60"/>
      <c r="H10" s="57"/>
    </row>
    <row r="11" spans="1:27 16384:16384" s="41" customFormat="1" ht="14.5">
      <c r="A11" s="18"/>
      <c r="B11" s="27">
        <f t="shared" ref="B11:B74" si="0">1+B10</f>
        <v>3</v>
      </c>
      <c r="C11" s="221" t="s">
        <v>1381</v>
      </c>
      <c r="D11" s="219">
        <f>+'PACC GENERAL 2026'!K20</f>
        <v>12000</v>
      </c>
      <c r="E11" s="117"/>
    </row>
    <row r="12" spans="1:27 16384:16384" s="41" customFormat="1" ht="14.5">
      <c r="A12" s="18"/>
      <c r="B12" s="27">
        <f t="shared" si="0"/>
        <v>4</v>
      </c>
      <c r="C12" s="221" t="s">
        <v>2</v>
      </c>
      <c r="D12" s="219">
        <f>'PACC GENERAL 2026'!K33</f>
        <v>154478700</v>
      </c>
      <c r="E12" s="117"/>
    </row>
    <row r="13" spans="1:27 16384:16384" s="41" customFormat="1" ht="14.5">
      <c r="A13" s="18"/>
      <c r="B13" s="27">
        <f t="shared" si="0"/>
        <v>5</v>
      </c>
      <c r="C13" s="221" t="s">
        <v>1679</v>
      </c>
      <c r="D13" s="219">
        <f>+'PACC GENERAL 2026'!K36</f>
        <v>2637800</v>
      </c>
      <c r="E13" s="117"/>
    </row>
    <row r="14" spans="1:27 16384:16384" s="18" customFormat="1" ht="14.5">
      <c r="B14" s="27">
        <f t="shared" si="0"/>
        <v>6</v>
      </c>
      <c r="C14" s="25" t="s">
        <v>870</v>
      </c>
      <c r="D14" s="26">
        <f>+'PACC GENERAL 2026'!K42</f>
        <v>13200</v>
      </c>
      <c r="E14" s="117"/>
      <c r="F14" s="60"/>
      <c r="G14" s="60"/>
      <c r="H14" s="57"/>
    </row>
    <row r="15" spans="1:27 16384:16384" s="41" customFormat="1" ht="14.5">
      <c r="A15" s="49"/>
      <c r="B15" s="27">
        <f t="shared" si="0"/>
        <v>7</v>
      </c>
      <c r="C15" s="221" t="s">
        <v>3</v>
      </c>
      <c r="D15" s="219">
        <f>+'PACC GENERAL 2026'!K64</f>
        <v>3400625</v>
      </c>
      <c r="E15" s="208"/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</row>
    <row r="16" spans="1:27 16384:16384" s="41" customFormat="1" ht="14.5">
      <c r="A16" s="273"/>
      <c r="B16" s="27">
        <f t="shared" si="0"/>
        <v>8</v>
      </c>
      <c r="C16" s="221" t="s">
        <v>1392</v>
      </c>
      <c r="D16" s="219">
        <f>+'PACC GENERAL 2026'!K67</f>
        <v>3675000</v>
      </c>
      <c r="E16" s="208"/>
      <c r="F16" s="222"/>
      <c r="G16" s="222"/>
      <c r="H16" s="222"/>
      <c r="I16" s="22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22"/>
      <c r="Z16" s="222"/>
      <c r="AA16" s="222"/>
    </row>
    <row r="17" spans="1:8 16384:16384" s="41" customFormat="1" ht="14.5">
      <c r="A17" s="49"/>
      <c r="B17" s="27">
        <f t="shared" si="0"/>
        <v>9</v>
      </c>
      <c r="C17" s="221" t="s">
        <v>4</v>
      </c>
      <c r="D17" s="219">
        <f>+'PACC GENERAL 2026'!K80</f>
        <v>2514972.4499999997</v>
      </c>
      <c r="E17" s="117"/>
    </row>
    <row r="18" spans="1:8 16384:16384" ht="14.5">
      <c r="B18" s="27">
        <f t="shared" si="0"/>
        <v>10</v>
      </c>
      <c r="C18" s="25" t="s">
        <v>5</v>
      </c>
      <c r="D18" s="26">
        <f>+'PACC GENERAL 2026'!K86</f>
        <v>149000000</v>
      </c>
      <c r="E18" s="118"/>
      <c r="F18" s="59"/>
      <c r="G18" s="59"/>
      <c r="H18" s="56"/>
    </row>
    <row r="19" spans="1:8 16384:16384" s="229" customFormat="1" ht="14.5">
      <c r="B19" s="27">
        <f t="shared" si="0"/>
        <v>11</v>
      </c>
      <c r="C19" s="25" t="s">
        <v>1074</v>
      </c>
      <c r="D19" s="26">
        <f>+'PACC GENERAL 2026'!K89</f>
        <v>3063999.9983999999</v>
      </c>
      <c r="E19" s="118"/>
      <c r="F19" s="59"/>
      <c r="G19" s="59"/>
      <c r="H19" s="56"/>
    </row>
    <row r="20" spans="1:8 16384:16384" s="41" customFormat="1" ht="15" customHeight="1">
      <c r="A20" s="49"/>
      <c r="B20" s="27">
        <f t="shared" si="0"/>
        <v>12</v>
      </c>
      <c r="C20" s="221" t="s">
        <v>6</v>
      </c>
      <c r="D20" s="219">
        <f>+'PACC GENERAL 2026'!K92</f>
        <v>4250000</v>
      </c>
      <c r="E20" s="117"/>
    </row>
    <row r="21" spans="1:8 16384:16384" s="41" customFormat="1" ht="14.5">
      <c r="A21" s="210"/>
      <c r="B21" s="27">
        <f t="shared" si="0"/>
        <v>13</v>
      </c>
      <c r="C21" s="219" t="s">
        <v>7</v>
      </c>
      <c r="D21" s="219">
        <f>+'PACC GENERAL 2026'!K95</f>
        <v>678400</v>
      </c>
      <c r="XFD21" s="220"/>
    </row>
    <row r="22" spans="1:8 16384:16384" s="41" customFormat="1" ht="14.5">
      <c r="A22" s="49"/>
      <c r="B22" s="27">
        <f t="shared" si="0"/>
        <v>14</v>
      </c>
      <c r="C22" s="221" t="s">
        <v>8</v>
      </c>
      <c r="D22" s="219">
        <f>+'PACC GENERAL 2026'!K104</f>
        <v>8593102.5795999989</v>
      </c>
      <c r="E22" s="117"/>
    </row>
    <row r="23" spans="1:8 16384:16384" s="41" customFormat="1" ht="14.5">
      <c r="A23" s="50"/>
      <c r="B23" s="27">
        <f t="shared" si="0"/>
        <v>15</v>
      </c>
      <c r="C23" s="221" t="s">
        <v>9</v>
      </c>
      <c r="D23" s="219">
        <f>+'PACC GENERAL 2026'!K113</f>
        <v>4878194.9000000004</v>
      </c>
      <c r="E23" s="117"/>
    </row>
    <row r="24" spans="1:8 16384:16384" s="41" customFormat="1" ht="14.5">
      <c r="A24" s="273"/>
      <c r="B24" s="27">
        <f t="shared" si="0"/>
        <v>16</v>
      </c>
      <c r="C24" s="221" t="s">
        <v>1671</v>
      </c>
      <c r="D24" s="219">
        <f>+'PACC GENERAL 2026'!K115</f>
        <v>950000</v>
      </c>
      <c r="E24" s="117"/>
    </row>
    <row r="25" spans="1:8 16384:16384" s="41" customFormat="1" ht="15.75" customHeight="1">
      <c r="A25" s="49"/>
      <c r="B25" s="27">
        <f t="shared" si="0"/>
        <v>17</v>
      </c>
      <c r="C25" s="221" t="s">
        <v>10</v>
      </c>
      <c r="D25" s="219">
        <f>+'PACC GENERAL 2026'!K124</f>
        <v>7093580</v>
      </c>
      <c r="E25" s="117"/>
    </row>
    <row r="26" spans="1:8 16384:16384" s="41" customFormat="1" ht="15.75" customHeight="1">
      <c r="A26" s="50"/>
      <c r="B26" s="27">
        <f t="shared" si="0"/>
        <v>18</v>
      </c>
      <c r="C26" s="221" t="s">
        <v>11</v>
      </c>
      <c r="D26" s="219">
        <f>+'PACC GENERAL 2026'!K127</f>
        <v>55000</v>
      </c>
      <c r="E26" s="117"/>
    </row>
    <row r="27" spans="1:8 16384:16384" s="41" customFormat="1" ht="15.75" customHeight="1">
      <c r="A27" s="94"/>
      <c r="B27" s="27">
        <f t="shared" si="0"/>
        <v>19</v>
      </c>
      <c r="C27" s="221" t="s">
        <v>512</v>
      </c>
      <c r="D27" s="219">
        <f>+'PACC GENERAL 2026'!K133</f>
        <v>50332500</v>
      </c>
      <c r="E27" s="208"/>
    </row>
    <row r="28" spans="1:8 16384:16384" s="41" customFormat="1" ht="15.75" customHeight="1">
      <c r="A28" s="228"/>
      <c r="B28" s="27">
        <f t="shared" si="0"/>
        <v>20</v>
      </c>
      <c r="C28" s="221" t="s">
        <v>955</v>
      </c>
      <c r="D28" s="219">
        <f>+'PACC GENERAL 2026'!K135</f>
        <v>400000</v>
      </c>
      <c r="E28" s="208"/>
    </row>
    <row r="29" spans="1:8 16384:16384" s="41" customFormat="1" ht="14.5">
      <c r="A29" s="113"/>
      <c r="B29" s="27">
        <f t="shared" si="0"/>
        <v>21</v>
      </c>
      <c r="C29" s="221" t="s">
        <v>12</v>
      </c>
      <c r="D29" s="219">
        <f>+'PACC GENERAL 2026'!K179</f>
        <v>16580940</v>
      </c>
    </row>
    <row r="30" spans="1:8 16384:16384" s="41" customFormat="1" ht="14.5">
      <c r="A30" s="229"/>
      <c r="B30" s="27">
        <f t="shared" si="0"/>
        <v>22</v>
      </c>
      <c r="C30" s="221" t="s">
        <v>1192</v>
      </c>
      <c r="D30" s="219">
        <f>+'PACC GENERAL 2026'!K181</f>
        <v>2242000</v>
      </c>
    </row>
    <row r="31" spans="1:8 16384:16384" ht="14.5">
      <c r="B31" s="27">
        <f t="shared" si="0"/>
        <v>23</v>
      </c>
      <c r="C31" s="25" t="s">
        <v>615</v>
      </c>
      <c r="D31" s="26">
        <f>+'PACC GENERAL 2026'!K186</f>
        <v>2529500</v>
      </c>
      <c r="E31" s="118"/>
      <c r="F31" s="59"/>
      <c r="G31" s="59"/>
      <c r="H31" s="56"/>
    </row>
    <row r="32" spans="1:8 16384:16384" s="41" customFormat="1" ht="14.5">
      <c r="A32" s="94"/>
      <c r="B32" s="27">
        <f t="shared" si="0"/>
        <v>24</v>
      </c>
      <c r="C32" s="221" t="s">
        <v>13</v>
      </c>
      <c r="D32" s="219">
        <f>+'PACC GENERAL 2026'!K197</f>
        <v>18060000</v>
      </c>
      <c r="E32" s="117"/>
    </row>
    <row r="33" spans="1:27" s="41" customFormat="1" ht="14.5">
      <c r="A33" s="49"/>
      <c r="B33" s="27">
        <f t="shared" si="0"/>
        <v>25</v>
      </c>
      <c r="C33" s="221" t="s">
        <v>430</v>
      </c>
      <c r="D33" s="219">
        <f>+'PACC GENERAL 2026'!K199</f>
        <v>10500</v>
      </c>
      <c r="E33" s="208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</row>
    <row r="34" spans="1:27" s="41" customFormat="1" ht="14.5">
      <c r="A34" s="92"/>
      <c r="B34" s="27">
        <f t="shared" si="0"/>
        <v>26</v>
      </c>
      <c r="C34" s="221" t="s">
        <v>14</v>
      </c>
      <c r="D34" s="219">
        <f>+'PACC GENERAL 2026'!K214</f>
        <v>308850</v>
      </c>
      <c r="E34" s="208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</row>
    <row r="35" spans="1:27" s="41" customFormat="1" ht="14.5">
      <c r="A35" s="49"/>
      <c r="B35" s="27">
        <f t="shared" si="0"/>
        <v>27</v>
      </c>
      <c r="C35" s="221" t="s">
        <v>657</v>
      </c>
      <c r="D35" s="219">
        <f>'PACC GENERAL 2026'!K207</f>
        <v>6325000</v>
      </c>
      <c r="E35" s="117"/>
    </row>
    <row r="36" spans="1:27" s="41" customFormat="1" ht="14.5">
      <c r="A36" s="49"/>
      <c r="B36" s="27">
        <f t="shared" si="0"/>
        <v>28</v>
      </c>
      <c r="C36" s="221" t="s">
        <v>15</v>
      </c>
      <c r="D36" s="219">
        <f>+'PACC GENERAL 2026'!K327</f>
        <v>8341260.5549999997</v>
      </c>
      <c r="E36" s="117"/>
    </row>
    <row r="37" spans="1:27" s="41" customFormat="1" ht="14.5">
      <c r="A37" s="49"/>
      <c r="B37" s="27">
        <f t="shared" si="0"/>
        <v>29</v>
      </c>
      <c r="C37" s="221" t="s">
        <v>16</v>
      </c>
      <c r="D37" s="219">
        <f>+'PACC GENERAL 2026'!K355</f>
        <v>2709771.7</v>
      </c>
      <c r="E37" s="208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</row>
    <row r="38" spans="1:27" s="41" customFormat="1" ht="14.5">
      <c r="A38" s="72"/>
      <c r="B38" s="27">
        <f t="shared" si="0"/>
        <v>30</v>
      </c>
      <c r="C38" s="221" t="s">
        <v>396</v>
      </c>
      <c r="D38" s="219">
        <f>+'PACC GENERAL 2026'!K360</f>
        <v>572990</v>
      </c>
      <c r="E38" s="208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</row>
    <row r="39" spans="1:27" s="41" customFormat="1" ht="14.5">
      <c r="A39" s="273"/>
      <c r="B39" s="27">
        <f t="shared" si="0"/>
        <v>31</v>
      </c>
      <c r="C39" s="221" t="s">
        <v>1669</v>
      </c>
      <c r="D39" s="219">
        <f>+'PACC GENERAL 2026'!K362</f>
        <v>39000</v>
      </c>
      <c r="E39" s="208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</row>
    <row r="40" spans="1:27" s="41" customFormat="1" ht="14.5">
      <c r="A40" s="273"/>
      <c r="B40" s="27">
        <f t="shared" si="0"/>
        <v>32</v>
      </c>
      <c r="C40" s="221" t="s">
        <v>1663</v>
      </c>
      <c r="D40" s="219">
        <f>+'PACC GENERAL 2026'!K364</f>
        <v>187500</v>
      </c>
      <c r="E40" s="208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</row>
    <row r="41" spans="1:27" s="41" customFormat="1" ht="14.5">
      <c r="A41" s="229"/>
      <c r="B41" s="27">
        <f t="shared" si="0"/>
        <v>33</v>
      </c>
      <c r="C41" s="221" t="s">
        <v>1125</v>
      </c>
      <c r="D41" s="219">
        <f>+'PACC GENERAL 2026'!K366</f>
        <v>35000</v>
      </c>
      <c r="E41" s="208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</row>
    <row r="42" spans="1:27" s="41" customFormat="1" ht="14.5">
      <c r="A42" s="127"/>
      <c r="B42" s="27">
        <f t="shared" si="0"/>
        <v>34</v>
      </c>
      <c r="C42" s="221" t="s">
        <v>760</v>
      </c>
      <c r="D42" s="219">
        <f>+'PACC GENERAL 2026'!K373</f>
        <v>1356000</v>
      </c>
      <c r="E42" s="208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</row>
    <row r="43" spans="1:27" s="41" customFormat="1" ht="14.5">
      <c r="A43" s="49"/>
      <c r="B43" s="27">
        <f t="shared" si="0"/>
        <v>35</v>
      </c>
      <c r="C43" s="223" t="s">
        <v>17</v>
      </c>
      <c r="D43" s="219">
        <f>+'PACC GENERAL 2026'!K413</f>
        <v>7560700000</v>
      </c>
      <c r="E43" s="208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</row>
    <row r="44" spans="1:27" ht="15" customHeight="1">
      <c r="B44" s="27">
        <f t="shared" si="0"/>
        <v>36</v>
      </c>
      <c r="C44" s="25" t="s">
        <v>18</v>
      </c>
      <c r="D44" s="26">
        <f>+'PACC GENERAL 2026'!K427</f>
        <v>170949</v>
      </c>
      <c r="F44" s="59"/>
      <c r="G44" s="59"/>
      <c r="H44" s="56"/>
    </row>
    <row r="45" spans="1:27" s="41" customFormat="1" ht="14.5">
      <c r="A45" s="49"/>
      <c r="B45" s="27">
        <f t="shared" si="0"/>
        <v>37</v>
      </c>
      <c r="C45" s="221" t="s">
        <v>19</v>
      </c>
      <c r="D45" s="219">
        <f>+'PACC GENERAL 2026'!K450</f>
        <v>319250</v>
      </c>
      <c r="E45" s="208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</row>
    <row r="46" spans="1:27" s="41" customFormat="1" ht="15.75" customHeight="1">
      <c r="A46" s="49"/>
      <c r="B46" s="27">
        <f t="shared" si="0"/>
        <v>38</v>
      </c>
      <c r="C46" s="221" t="s">
        <v>20</v>
      </c>
      <c r="D46" s="219">
        <f>+'PACC GENERAL 2026'!K454</f>
        <v>1779206</v>
      </c>
      <c r="E46" s="117"/>
    </row>
    <row r="47" spans="1:27" s="95" customFormat="1" ht="15" customHeight="1">
      <c r="B47" s="27">
        <f t="shared" si="0"/>
        <v>39</v>
      </c>
      <c r="C47" s="25" t="s">
        <v>548</v>
      </c>
      <c r="D47" s="26">
        <f>+'PACC GENERAL 2026'!K486</f>
        <v>8271180.5999999996</v>
      </c>
      <c r="E47" s="116"/>
      <c r="F47" s="59"/>
      <c r="G47" s="59"/>
      <c r="H47" s="56"/>
    </row>
    <row r="48" spans="1:27" s="95" customFormat="1" ht="15" customHeight="1">
      <c r="B48" s="27">
        <f t="shared" si="0"/>
        <v>40</v>
      </c>
      <c r="C48" s="25" t="s">
        <v>550</v>
      </c>
      <c r="D48" s="26">
        <f>+'PACC GENERAL 2026'!K499</f>
        <v>56688.52</v>
      </c>
      <c r="E48" s="116"/>
      <c r="F48" s="59"/>
      <c r="G48" s="59"/>
      <c r="H48" s="56"/>
    </row>
    <row r="49" spans="1:27" s="41" customFormat="1" ht="14.5">
      <c r="A49" s="49"/>
      <c r="B49" s="27">
        <f t="shared" si="0"/>
        <v>41</v>
      </c>
      <c r="C49" s="221" t="s">
        <v>21</v>
      </c>
      <c r="D49" s="219">
        <f>+'PACC GENERAL 2026'!K534</f>
        <v>43495370</v>
      </c>
      <c r="E49" s="117"/>
    </row>
    <row r="50" spans="1:27" ht="14.5">
      <c r="B50" s="27">
        <f t="shared" si="0"/>
        <v>42</v>
      </c>
      <c r="C50" s="25" t="s">
        <v>22</v>
      </c>
      <c r="D50" s="26">
        <f>+'PACC GENERAL 2026'!K547</f>
        <v>4751250</v>
      </c>
      <c r="F50" s="59"/>
      <c r="G50" s="59"/>
      <c r="H50" s="56"/>
    </row>
    <row r="51" spans="1:27" s="41" customFormat="1" ht="15.75" customHeight="1">
      <c r="A51" s="49"/>
      <c r="B51" s="27">
        <f t="shared" si="0"/>
        <v>43</v>
      </c>
      <c r="C51" s="221" t="s">
        <v>23</v>
      </c>
      <c r="D51" s="219">
        <f>+'PACC GENERAL 2026'!K592</f>
        <v>13281800.612</v>
      </c>
      <c r="E51" s="117"/>
    </row>
    <row r="52" spans="1:27" s="41" customFormat="1" ht="15.75" customHeight="1">
      <c r="A52" s="273"/>
      <c r="B52" s="27">
        <f t="shared" si="0"/>
        <v>44</v>
      </c>
      <c r="C52" s="221" t="s">
        <v>1680</v>
      </c>
      <c r="D52" s="219">
        <f>+'PACC GENERAL 2026'!K594</f>
        <v>1800000</v>
      </c>
      <c r="E52" s="117"/>
    </row>
    <row r="53" spans="1:27" s="41" customFormat="1" ht="14.5">
      <c r="A53" s="50"/>
      <c r="B53" s="27">
        <f t="shared" si="0"/>
        <v>45</v>
      </c>
      <c r="C53" s="221" t="s">
        <v>24</v>
      </c>
      <c r="D53" s="219">
        <f>+'PACC GENERAL 2026'!K604</f>
        <v>4676000</v>
      </c>
      <c r="E53" s="117"/>
    </row>
    <row r="54" spans="1:27" s="41" customFormat="1" ht="15.75" customHeight="1">
      <c r="A54" s="49"/>
      <c r="B54" s="27">
        <f t="shared" si="0"/>
        <v>46</v>
      </c>
      <c r="C54" s="221" t="s">
        <v>25</v>
      </c>
      <c r="D54" s="219">
        <f>+'PACC GENERAL 2026'!K734</f>
        <v>62130069.459999986</v>
      </c>
      <c r="E54" s="117"/>
    </row>
    <row r="55" spans="1:27" s="41" customFormat="1" ht="15.75" customHeight="1">
      <c r="A55" s="106"/>
      <c r="B55" s="27">
        <f t="shared" si="0"/>
        <v>47</v>
      </c>
      <c r="C55" s="221" t="s">
        <v>720</v>
      </c>
      <c r="D55" s="219">
        <f>'PACC GENERAL 2026'!K746</f>
        <v>1978740</v>
      </c>
      <c r="E55" s="117"/>
    </row>
    <row r="56" spans="1:27" s="106" customFormat="1" ht="15" customHeight="1">
      <c r="B56" s="27">
        <f t="shared" si="0"/>
        <v>48</v>
      </c>
      <c r="C56" s="25" t="s">
        <v>623</v>
      </c>
      <c r="D56" s="26">
        <f>+'PACC GENERAL 2026'!K748</f>
        <v>310000</v>
      </c>
      <c r="E56" s="116"/>
      <c r="F56" s="59"/>
      <c r="G56" s="59"/>
      <c r="H56" s="56"/>
    </row>
    <row r="57" spans="1:27" s="273" customFormat="1" ht="15" customHeight="1">
      <c r="B57" s="27">
        <f t="shared" si="0"/>
        <v>49</v>
      </c>
      <c r="C57" s="25" t="s">
        <v>1682</v>
      </c>
      <c r="D57" s="26">
        <f>+'PACC GENERAL 2026'!K753</f>
        <v>144100</v>
      </c>
      <c r="E57" s="116"/>
      <c r="F57" s="59"/>
      <c r="G57" s="59"/>
      <c r="H57" s="56"/>
    </row>
    <row r="58" spans="1:27" s="41" customFormat="1" ht="15.75" customHeight="1">
      <c r="A58" s="49"/>
      <c r="B58" s="27">
        <f t="shared" si="0"/>
        <v>50</v>
      </c>
      <c r="C58" s="221" t="s">
        <v>26</v>
      </c>
      <c r="D58" s="219">
        <f>+'PACC GENERAL 2026'!K790</f>
        <v>86038989</v>
      </c>
      <c r="E58" s="117"/>
    </row>
    <row r="59" spans="1:27" s="41" customFormat="1" ht="14.5">
      <c r="A59" s="136"/>
      <c r="B59" s="27">
        <f t="shared" si="0"/>
        <v>51</v>
      </c>
      <c r="C59" s="221" t="s">
        <v>382</v>
      </c>
      <c r="D59" s="219">
        <f>+'PACC GENERAL 2026'!K840</f>
        <v>2409400</v>
      </c>
      <c r="E59" s="117"/>
    </row>
    <row r="60" spans="1:27" ht="15.75" customHeight="1">
      <c r="B60" s="27">
        <f t="shared" si="0"/>
        <v>52</v>
      </c>
      <c r="C60" s="25" t="s">
        <v>27</v>
      </c>
      <c r="D60" s="26">
        <f>+'PACC GENERAL 2026'!K876</f>
        <v>24169500</v>
      </c>
      <c r="F60" s="59"/>
      <c r="G60" s="59"/>
      <c r="H60" s="56"/>
    </row>
    <row r="61" spans="1:27" s="41" customFormat="1" ht="15.75" customHeight="1">
      <c r="A61" s="49"/>
      <c r="B61" s="27">
        <f t="shared" si="0"/>
        <v>53</v>
      </c>
      <c r="C61" s="221" t="s">
        <v>28</v>
      </c>
      <c r="D61" s="219">
        <f>+'PACC GENERAL 2026'!K929</f>
        <v>29900900</v>
      </c>
      <c r="E61" s="117"/>
    </row>
    <row r="62" spans="1:27" s="41" customFormat="1" ht="15.75" customHeight="1">
      <c r="A62" s="273"/>
      <c r="B62" s="27">
        <f t="shared" si="0"/>
        <v>54</v>
      </c>
      <c r="C62" s="221" t="s">
        <v>1684</v>
      </c>
      <c r="D62" s="219">
        <f>+'PACC GENERAL 2026'!K932</f>
        <v>120000</v>
      </c>
      <c r="E62" s="117"/>
    </row>
    <row r="63" spans="1:27" s="41" customFormat="1" ht="14.5">
      <c r="A63" s="49"/>
      <c r="B63" s="27">
        <f t="shared" si="0"/>
        <v>55</v>
      </c>
      <c r="C63" s="223" t="s">
        <v>624</v>
      </c>
      <c r="D63" s="219">
        <f>+'PACC GENERAL 2026'!K935</f>
        <v>900000</v>
      </c>
      <c r="E63" s="117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</row>
    <row r="64" spans="1:27" s="41" customFormat="1" ht="14.5">
      <c r="A64" s="106"/>
      <c r="B64" s="27">
        <f t="shared" si="0"/>
        <v>56</v>
      </c>
      <c r="C64" s="247" t="s">
        <v>29</v>
      </c>
      <c r="D64" s="219">
        <f>+'PACC GENERAL 2026'!K984</f>
        <v>8734231.5099999998</v>
      </c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</row>
    <row r="65" spans="1:27" ht="29">
      <c r="B65" s="27">
        <f t="shared" si="0"/>
        <v>57</v>
      </c>
      <c r="C65" s="525" t="s">
        <v>30</v>
      </c>
      <c r="D65" s="26">
        <f>+'PACC GENERAL 2026'!K990</f>
        <v>105500</v>
      </c>
      <c r="F65" s="61"/>
      <c r="G65" s="61"/>
      <c r="H65" s="58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s="41" customFormat="1" ht="15.75" customHeight="1">
      <c r="A66" s="49"/>
      <c r="B66" s="27">
        <f t="shared" si="0"/>
        <v>58</v>
      </c>
      <c r="C66" s="221" t="s">
        <v>31</v>
      </c>
      <c r="D66" s="219">
        <f>+'PACC GENERAL 2026'!K1015</f>
        <v>3162948.1720000003</v>
      </c>
      <c r="E66" s="117"/>
    </row>
    <row r="67" spans="1:27" ht="14.5">
      <c r="B67" s="27">
        <f t="shared" si="0"/>
        <v>59</v>
      </c>
      <c r="C67" s="25" t="s">
        <v>32</v>
      </c>
      <c r="D67" s="26">
        <f>+'PACC GENERAL 2026'!K1028</f>
        <v>160000</v>
      </c>
      <c r="E67" s="118"/>
      <c r="F67" s="61"/>
      <c r="G67" s="61"/>
      <c r="H67" s="58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s="124" customFormat="1" ht="14.5">
      <c r="B68" s="27">
        <f t="shared" si="0"/>
        <v>60</v>
      </c>
      <c r="C68" s="25" t="s">
        <v>661</v>
      </c>
      <c r="D68" s="26">
        <f>'PACC GENERAL 2026'!K1052</f>
        <v>10500</v>
      </c>
      <c r="E68" s="116"/>
      <c r="F68" s="59"/>
      <c r="G68" s="59"/>
      <c r="H68" s="56"/>
    </row>
    <row r="69" spans="1:27" s="243" customFormat="1" ht="14.5">
      <c r="B69" s="27">
        <f t="shared" si="0"/>
        <v>61</v>
      </c>
      <c r="C69" s="25" t="s">
        <v>1382</v>
      </c>
      <c r="D69" s="26">
        <f>+'PACC GENERAL 2026'!K1058</f>
        <v>70000</v>
      </c>
      <c r="E69" s="118"/>
      <c r="F69" s="61"/>
      <c r="G69" s="61"/>
      <c r="H69" s="58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</row>
    <row r="70" spans="1:27" s="41" customFormat="1" ht="15.75" customHeight="1">
      <c r="A70" s="49"/>
      <c r="B70" s="27">
        <f t="shared" si="0"/>
        <v>62</v>
      </c>
      <c r="C70" s="221" t="s">
        <v>35</v>
      </c>
      <c r="D70" s="219">
        <f>+'PACC GENERAL 2026'!K1082</f>
        <v>10791858</v>
      </c>
      <c r="E70" s="117"/>
    </row>
    <row r="71" spans="1:27" s="41" customFormat="1" ht="14.5">
      <c r="A71" s="228"/>
      <c r="B71" s="27">
        <f t="shared" si="0"/>
        <v>63</v>
      </c>
      <c r="C71" s="246" t="s">
        <v>376</v>
      </c>
      <c r="D71" s="219">
        <f>+'PACC GENERAL 2026'!K1091</f>
        <v>6971000</v>
      </c>
      <c r="E71" s="117"/>
    </row>
    <row r="72" spans="1:27" s="41" customFormat="1" ht="15.75" customHeight="1">
      <c r="A72" s="49"/>
      <c r="B72" s="27">
        <f t="shared" si="0"/>
        <v>64</v>
      </c>
      <c r="C72" s="221" t="s">
        <v>36</v>
      </c>
      <c r="D72" s="219">
        <f>+'PACC GENERAL 2026'!K1095</f>
        <v>4315000</v>
      </c>
      <c r="E72" s="117"/>
    </row>
    <row r="73" spans="1:27" s="41" customFormat="1" ht="15" customHeight="1">
      <c r="A73" s="49"/>
      <c r="B73" s="27">
        <f t="shared" si="0"/>
        <v>65</v>
      </c>
      <c r="C73" s="221" t="s">
        <v>37</v>
      </c>
      <c r="D73" s="219">
        <f>+'PACC GENERAL 2026'!K1132</f>
        <v>4187500</v>
      </c>
      <c r="E73" s="117"/>
    </row>
    <row r="74" spans="1:27" s="41" customFormat="1" ht="15.75" customHeight="1">
      <c r="A74" s="72"/>
      <c r="B74" s="27">
        <f t="shared" si="0"/>
        <v>66</v>
      </c>
      <c r="C74" s="221" t="s">
        <v>446</v>
      </c>
      <c r="D74" s="219">
        <f>+'PACC GENERAL 2026'!K1134</f>
        <v>9500</v>
      </c>
      <c r="E74" s="117"/>
    </row>
    <row r="75" spans="1:27" s="41" customFormat="1" ht="14.5">
      <c r="A75" s="49"/>
      <c r="B75" s="27">
        <f t="shared" ref="B75:B110" si="1">1+B74</f>
        <v>67</v>
      </c>
      <c r="C75" s="221" t="s">
        <v>38</v>
      </c>
      <c r="D75" s="219">
        <f>+'PACC GENERAL 2026'!K1200</f>
        <v>4883362.8</v>
      </c>
      <c r="E75" s="117"/>
    </row>
    <row r="76" spans="1:27" ht="14.5">
      <c r="B76" s="27">
        <f t="shared" si="1"/>
        <v>68</v>
      </c>
      <c r="C76" s="25" t="s">
        <v>1689</v>
      </c>
      <c r="D76" s="26">
        <f>'PACC GENERAL 2026'!K1204</f>
        <v>71200</v>
      </c>
      <c r="E76" s="61"/>
      <c r="F76" s="61"/>
      <c r="G76" s="61"/>
      <c r="H76" s="58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s="51" customFormat="1" ht="14.5">
      <c r="B77" s="27">
        <f t="shared" si="1"/>
        <v>69</v>
      </c>
      <c r="C77" s="25" t="s">
        <v>39</v>
      </c>
      <c r="D77" s="26">
        <f>'PACC GENERAL 2026'!K1213</f>
        <v>1205500</v>
      </c>
      <c r="E77" s="61"/>
      <c r="F77" s="61"/>
      <c r="G77" s="61"/>
      <c r="H77" s="58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</row>
    <row r="78" spans="1:27" s="41" customFormat="1" ht="15.75" customHeight="1">
      <c r="A78" s="49"/>
      <c r="B78" s="27">
        <f t="shared" si="1"/>
        <v>70</v>
      </c>
      <c r="C78" s="221" t="s">
        <v>40</v>
      </c>
      <c r="D78" s="219">
        <f>+'PACC GENERAL 2026'!K1248</f>
        <v>14011170.119999999</v>
      </c>
      <c r="E78" s="117"/>
    </row>
    <row r="79" spans="1:27" s="41" customFormat="1" ht="15.75" customHeight="1">
      <c r="A79" s="136"/>
      <c r="B79" s="27">
        <f t="shared" si="1"/>
        <v>71</v>
      </c>
      <c r="C79" s="221" t="s">
        <v>43</v>
      </c>
      <c r="D79" s="219">
        <f>+'PACC GENERAL 2026'!K1258</f>
        <v>25075040.855999999</v>
      </c>
      <c r="E79" s="117"/>
    </row>
    <row r="80" spans="1:27" s="41" customFormat="1" ht="15.75" customHeight="1">
      <c r="A80" s="18"/>
      <c r="B80" s="27">
        <f t="shared" si="1"/>
        <v>72</v>
      </c>
      <c r="C80" s="221" t="s">
        <v>41</v>
      </c>
      <c r="D80" s="219">
        <f>+'PACC GENERAL 2026'!K1262</f>
        <v>132706950.288</v>
      </c>
      <c r="E80" s="217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</row>
    <row r="81" spans="1:27" s="41" customFormat="1" ht="15.75" customHeight="1">
      <c r="A81" s="18"/>
      <c r="B81" s="27">
        <f t="shared" si="1"/>
        <v>73</v>
      </c>
      <c r="C81" s="221" t="s">
        <v>309</v>
      </c>
      <c r="D81" s="219">
        <f>+'PACC GENERAL 2026'!K1270</f>
        <v>1035322.32</v>
      </c>
      <c r="E81" s="117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</row>
    <row r="82" spans="1:27" s="41" customFormat="1" ht="16.5" customHeight="1">
      <c r="A82" s="49"/>
      <c r="B82" s="27">
        <f t="shared" si="1"/>
        <v>74</v>
      </c>
      <c r="C82" s="221" t="s">
        <v>42</v>
      </c>
      <c r="D82" s="219">
        <f>+'PACC GENERAL 2026'!K1294</f>
        <v>1263325</v>
      </c>
      <c r="E82" s="117"/>
    </row>
    <row r="83" spans="1:27" s="41" customFormat="1" ht="14.5">
      <c r="A83" s="72"/>
      <c r="B83" s="27">
        <f t="shared" si="1"/>
        <v>75</v>
      </c>
      <c r="C83" s="221" t="s">
        <v>453</v>
      </c>
      <c r="D83" s="219">
        <f>+'PACC GENERAL 2026'!K1299</f>
        <v>471000</v>
      </c>
      <c r="E83" s="208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</row>
    <row r="84" spans="1:27" s="41" customFormat="1" ht="14.5">
      <c r="A84" s="72"/>
      <c r="B84" s="27">
        <f t="shared" si="1"/>
        <v>76</v>
      </c>
      <c r="C84" s="221" t="s">
        <v>44</v>
      </c>
      <c r="D84" s="219">
        <f>+'PACC GENERAL 2026'!K1305</f>
        <v>2301750</v>
      </c>
      <c r="E84" s="208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</row>
    <row r="85" spans="1:27" ht="14.5">
      <c r="B85" s="27">
        <f t="shared" si="1"/>
        <v>77</v>
      </c>
      <c r="C85" s="25" t="s">
        <v>45</v>
      </c>
      <c r="D85" s="26">
        <f>+'PACC GENERAL 2026'!K1336</f>
        <v>579011.38</v>
      </c>
      <c r="E85" s="118"/>
      <c r="F85" s="61"/>
      <c r="G85" s="61"/>
      <c r="H85" s="58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4.5">
      <c r="B86" s="27">
        <f t="shared" si="1"/>
        <v>78</v>
      </c>
      <c r="C86" s="25" t="s">
        <v>46</v>
      </c>
      <c r="D86" s="26">
        <f>+'PACC GENERAL 2026'!K1349</f>
        <v>2327600</v>
      </c>
      <c r="E86" s="118"/>
      <c r="F86" s="61"/>
      <c r="G86" s="61"/>
      <c r="H86" s="58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s="243" customFormat="1" ht="14.5">
      <c r="B87" s="27">
        <f t="shared" si="1"/>
        <v>79</v>
      </c>
      <c r="C87" s="25" t="s">
        <v>1383</v>
      </c>
      <c r="D87" s="26">
        <f>+'PACC GENERAL 2026'!K1352</f>
        <v>120000</v>
      </c>
      <c r="E87" s="118"/>
      <c r="F87" s="61"/>
      <c r="G87" s="61"/>
      <c r="H87" s="58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</row>
    <row r="88" spans="1:27" s="41" customFormat="1" ht="15.75" customHeight="1">
      <c r="A88" s="49"/>
      <c r="B88" s="27">
        <f t="shared" si="1"/>
        <v>80</v>
      </c>
      <c r="C88" s="221" t="s">
        <v>47</v>
      </c>
      <c r="D88" s="219">
        <f>+'PACC GENERAL 2026'!K1363</f>
        <v>364322.75800000003</v>
      </c>
      <c r="E88" s="117"/>
    </row>
    <row r="89" spans="1:27" s="106" customFormat="1" ht="14.5">
      <c r="B89" s="27">
        <f t="shared" si="1"/>
        <v>81</v>
      </c>
      <c r="C89" s="25" t="s">
        <v>625</v>
      </c>
      <c r="D89" s="26">
        <f>H92+'PACC GENERAL 2026'!K1365</f>
        <v>69000</v>
      </c>
      <c r="E89" s="116"/>
      <c r="F89" s="59"/>
      <c r="G89" s="59"/>
      <c r="H89" s="56"/>
    </row>
    <row r="90" spans="1:27" s="41" customFormat="1" ht="15.75" customHeight="1">
      <c r="A90" s="49"/>
      <c r="B90" s="27">
        <f t="shared" si="1"/>
        <v>82</v>
      </c>
      <c r="C90" s="221" t="s">
        <v>48</v>
      </c>
      <c r="D90" s="219">
        <f>+'PACC GENERAL 2026'!K1375</f>
        <v>1125142</v>
      </c>
      <c r="E90" s="117"/>
    </row>
    <row r="91" spans="1:27" s="51" customFormat="1" ht="14.5">
      <c r="B91" s="27">
        <f t="shared" si="1"/>
        <v>83</v>
      </c>
      <c r="C91" s="25" t="s">
        <v>49</v>
      </c>
      <c r="D91" s="26">
        <f>+'PACC GENERAL 2026'!K1388</f>
        <v>2692520</v>
      </c>
      <c r="E91" s="59"/>
      <c r="F91" s="59"/>
      <c r="G91" s="59"/>
      <c r="H91" s="56"/>
    </row>
    <row r="92" spans="1:27" ht="14.5">
      <c r="B92" s="27">
        <f t="shared" si="1"/>
        <v>84</v>
      </c>
      <c r="C92" s="25" t="s">
        <v>50</v>
      </c>
      <c r="D92" s="26">
        <f>'PACC GENERAL 2026'!K1395</f>
        <v>4651850</v>
      </c>
      <c r="F92" s="59"/>
      <c r="G92" s="59"/>
      <c r="H92" s="56"/>
    </row>
    <row r="93" spans="1:27" s="41" customFormat="1" ht="15.75" customHeight="1">
      <c r="A93" s="49"/>
      <c r="B93" s="27">
        <f t="shared" si="1"/>
        <v>85</v>
      </c>
      <c r="C93" s="224" t="s">
        <v>363</v>
      </c>
      <c r="D93" s="219">
        <f>'PACC GENERAL 2026'!K1401</f>
        <v>5431000</v>
      </c>
      <c r="E93" s="117"/>
    </row>
    <row r="94" spans="1:27" s="41" customFormat="1" ht="32.5" customHeight="1">
      <c r="A94" s="49"/>
      <c r="B94" s="27">
        <f t="shared" si="1"/>
        <v>86</v>
      </c>
      <c r="C94" s="221" t="s">
        <v>51</v>
      </c>
      <c r="D94" s="219">
        <f>+'PACC GENERAL 2026'!K1413</f>
        <v>42135000</v>
      </c>
      <c r="E94" s="209"/>
      <c r="F94" s="225"/>
      <c r="G94" s="226"/>
    </row>
    <row r="95" spans="1:27" s="41" customFormat="1" ht="15.75" customHeight="1">
      <c r="A95" s="72"/>
      <c r="B95" s="27">
        <f t="shared" si="1"/>
        <v>87</v>
      </c>
      <c r="C95" s="227" t="s">
        <v>460</v>
      </c>
      <c r="D95" s="219">
        <f>+'PACC GENERAL 2026'!K1415</f>
        <v>74015</v>
      </c>
      <c r="E95" s="209"/>
      <c r="F95" s="225"/>
      <c r="G95" s="226"/>
    </row>
    <row r="96" spans="1:27" s="41" customFormat="1" ht="15.75" customHeight="1">
      <c r="A96" s="273"/>
      <c r="B96" s="27">
        <f t="shared" si="1"/>
        <v>88</v>
      </c>
      <c r="C96" s="227" t="s">
        <v>1683</v>
      </c>
      <c r="D96" s="219">
        <f>+'PACC GENERAL 2026'!K1417</f>
        <v>250000</v>
      </c>
      <c r="E96" s="209"/>
      <c r="F96" s="225"/>
      <c r="G96" s="226"/>
    </row>
    <row r="97" spans="1:27" s="41" customFormat="1" ht="15.75" customHeight="1">
      <c r="A97" s="229"/>
      <c r="B97" s="27">
        <f t="shared" si="1"/>
        <v>89</v>
      </c>
      <c r="C97" s="227" t="s">
        <v>1189</v>
      </c>
      <c r="D97" s="219">
        <f>+'PACC GENERAL 2026'!K1419</f>
        <v>250000</v>
      </c>
      <c r="E97" s="209"/>
      <c r="F97" s="225"/>
      <c r="G97" s="226"/>
    </row>
    <row r="98" spans="1:27" ht="14.5">
      <c r="B98" s="27">
        <f t="shared" si="1"/>
        <v>90</v>
      </c>
      <c r="C98" s="25" t="s">
        <v>53</v>
      </c>
      <c r="D98" s="26">
        <f>+'PACC GENERAL 2026'!K1429</f>
        <v>43922672.5</v>
      </c>
      <c r="E98" s="118"/>
      <c r="F98" s="61"/>
      <c r="G98" s="61"/>
      <c r="H98" s="58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s="41" customFormat="1" ht="14.5">
      <c r="A99" s="127"/>
      <c r="B99" s="27">
        <f t="shared" si="1"/>
        <v>91</v>
      </c>
      <c r="C99" s="221" t="s">
        <v>54</v>
      </c>
      <c r="D99" s="219">
        <f>+'PACC GENERAL 2026'!K1434</f>
        <v>41000000</v>
      </c>
      <c r="E99" s="208"/>
      <c r="F99" s="222"/>
      <c r="G99" s="222"/>
      <c r="H99" s="222"/>
      <c r="I99" s="222"/>
      <c r="J99" s="222"/>
      <c r="K99" s="222"/>
      <c r="L99" s="222"/>
      <c r="M99" s="222"/>
      <c r="N99" s="222"/>
      <c r="O99" s="222"/>
      <c r="P99" s="222"/>
      <c r="Q99" s="222"/>
      <c r="R99" s="222"/>
      <c r="S99" s="222"/>
      <c r="T99" s="222"/>
      <c r="U99" s="222"/>
      <c r="V99" s="222"/>
      <c r="W99" s="222"/>
      <c r="X99" s="222"/>
      <c r="Y99" s="222"/>
      <c r="Z99" s="222"/>
      <c r="AA99" s="222"/>
    </row>
    <row r="100" spans="1:27" s="41" customFormat="1" ht="14.5">
      <c r="A100" s="49"/>
      <c r="B100" s="27">
        <f t="shared" si="1"/>
        <v>92</v>
      </c>
      <c r="C100" s="221" t="s">
        <v>55</v>
      </c>
      <c r="D100" s="219">
        <f>+'PACC GENERAL 2026'!K1443</f>
        <v>8150000</v>
      </c>
      <c r="E100" s="117"/>
    </row>
    <row r="101" spans="1:27" s="41" customFormat="1" ht="14.5">
      <c r="A101" s="72"/>
      <c r="B101" s="27">
        <f t="shared" si="1"/>
        <v>93</v>
      </c>
      <c r="C101" s="221" t="s">
        <v>488</v>
      </c>
      <c r="D101" s="219">
        <f>+'PACC GENERAL 2026'!K1506</f>
        <v>85615685.400000006</v>
      </c>
      <c r="E101" s="117"/>
    </row>
    <row r="102" spans="1:27" s="29" customFormat="1" ht="15.75" customHeight="1">
      <c r="A102" s="49"/>
      <c r="B102" s="27">
        <f t="shared" si="1"/>
        <v>94</v>
      </c>
      <c r="C102" s="25" t="s">
        <v>651</v>
      </c>
      <c r="D102" s="26">
        <f>+'PACC GENERAL 2026'!K1509</f>
        <v>450000</v>
      </c>
      <c r="E102" s="116"/>
      <c r="F102" s="59"/>
      <c r="G102" s="59"/>
      <c r="H102" s="56"/>
    </row>
    <row r="103" spans="1:27" s="41" customFormat="1" ht="14.5">
      <c r="A103" s="235"/>
      <c r="B103" s="27">
        <f t="shared" si="1"/>
        <v>95</v>
      </c>
      <c r="C103" s="221" t="s">
        <v>1371</v>
      </c>
      <c r="D103" s="219">
        <f>+'PACC GENERAL 2026'!K1512</f>
        <v>4400000</v>
      </c>
      <c r="E103" s="117"/>
    </row>
    <row r="104" spans="1:27" s="41" customFormat="1" ht="14.5">
      <c r="A104" s="229"/>
      <c r="B104" s="27">
        <f t="shared" si="1"/>
        <v>96</v>
      </c>
      <c r="C104" s="221" t="s">
        <v>57</v>
      </c>
      <c r="D104" s="219">
        <f>+'PACC GENERAL 2026'!K1517</f>
        <v>8000000</v>
      </c>
      <c r="E104" s="117"/>
    </row>
    <row r="105" spans="1:27" s="41" customFormat="1" ht="14.5">
      <c r="A105" s="49"/>
      <c r="B105" s="27">
        <f t="shared" si="1"/>
        <v>97</v>
      </c>
      <c r="C105" s="221" t="s">
        <v>364</v>
      </c>
      <c r="D105" s="219">
        <f>+'PACC GENERAL 2026'!K1528</f>
        <v>35138600</v>
      </c>
      <c r="E105" s="222"/>
      <c r="F105" s="222"/>
      <c r="G105" s="222"/>
      <c r="H105" s="222"/>
      <c r="I105" s="222"/>
      <c r="J105" s="222"/>
      <c r="K105" s="222"/>
      <c r="L105" s="222"/>
      <c r="M105" s="222"/>
      <c r="N105" s="222"/>
      <c r="O105" s="222"/>
      <c r="P105" s="222"/>
      <c r="Q105" s="222"/>
      <c r="R105" s="222"/>
      <c r="S105" s="222"/>
      <c r="T105" s="222"/>
      <c r="U105" s="222"/>
      <c r="V105" s="222"/>
      <c r="W105" s="222"/>
      <c r="X105" s="222"/>
      <c r="Y105" s="222"/>
      <c r="Z105" s="222"/>
      <c r="AA105" s="222"/>
    </row>
    <row r="106" spans="1:27" s="41" customFormat="1" ht="15.75" customHeight="1">
      <c r="A106" s="49"/>
      <c r="B106" s="27">
        <f t="shared" si="1"/>
        <v>98</v>
      </c>
      <c r="C106" s="221" t="s">
        <v>58</v>
      </c>
      <c r="D106" s="219">
        <f>+'PACC GENERAL 2026'!K1535</f>
        <v>31625000</v>
      </c>
      <c r="E106" s="117"/>
    </row>
    <row r="107" spans="1:27" s="41" customFormat="1" ht="14.25" customHeight="1">
      <c r="A107" s="49"/>
      <c r="B107" s="27">
        <f t="shared" si="1"/>
        <v>99</v>
      </c>
      <c r="C107" s="221" t="s">
        <v>59</v>
      </c>
      <c r="D107" s="219">
        <f>+'PACC GENERAL 2026'!K1538</f>
        <v>7200000</v>
      </c>
      <c r="E107" s="117"/>
    </row>
    <row r="108" spans="1:27" s="41" customFormat="1" ht="14.5">
      <c r="A108" s="49"/>
      <c r="B108" s="27">
        <f t="shared" si="1"/>
        <v>100</v>
      </c>
      <c r="C108" s="221" t="s">
        <v>60</v>
      </c>
      <c r="D108" s="219">
        <f>+'PACC GENERAL 2026'!K1585</f>
        <v>13165357.1</v>
      </c>
      <c r="E108" s="117"/>
    </row>
    <row r="109" spans="1:27" s="41" customFormat="1" ht="14.5">
      <c r="A109" s="173"/>
      <c r="B109" s="27">
        <f t="shared" si="1"/>
        <v>101</v>
      </c>
      <c r="C109" s="221" t="s">
        <v>878</v>
      </c>
      <c r="D109" s="219">
        <f>+'PACC GENERAL 2026'!K1588</f>
        <v>680000</v>
      </c>
      <c r="E109" s="300"/>
      <c r="F109" s="62"/>
      <c r="G109" s="122"/>
    </row>
    <row r="110" spans="1:27" s="41" customFormat="1" ht="15.75" customHeight="1">
      <c r="A110" s="49"/>
      <c r="B110" s="27">
        <f t="shared" si="1"/>
        <v>102</v>
      </c>
      <c r="C110" s="221" t="s">
        <v>61</v>
      </c>
      <c r="D110" s="219">
        <f>+'PACC GENERAL 2026'!K1600</f>
        <v>3080515.41</v>
      </c>
      <c r="E110" s="300"/>
      <c r="F110" s="62"/>
      <c r="G110" s="122"/>
      <c r="H110" s="222"/>
      <c r="I110" s="222"/>
      <c r="J110" s="222"/>
      <c r="K110" s="222"/>
      <c r="L110" s="222"/>
      <c r="M110" s="222"/>
      <c r="N110" s="222"/>
      <c r="O110" s="222"/>
      <c r="P110" s="222"/>
      <c r="Q110" s="222"/>
      <c r="R110" s="222"/>
      <c r="S110" s="222"/>
      <c r="T110" s="222"/>
      <c r="U110" s="222"/>
      <c r="V110" s="222"/>
      <c r="W110" s="222"/>
      <c r="X110" s="222"/>
      <c r="Y110" s="222"/>
      <c r="Z110" s="222"/>
      <c r="AA110" s="222"/>
    </row>
    <row r="111" spans="1:27" ht="14.5">
      <c r="B111" s="28"/>
      <c r="C111" s="130" t="s">
        <v>62</v>
      </c>
      <c r="D111" s="19">
        <f>SUBTOTAL(9,D9:D110)</f>
        <v>8867001230.9890022</v>
      </c>
      <c r="E111" s="300">
        <f>+'PACC GENERAL 2026'!K1601</f>
        <v>8867001230.9890022</v>
      </c>
      <c r="F111" s="30"/>
      <c r="G111" s="279"/>
      <c r="H111" s="56"/>
    </row>
    <row r="112" spans="1:27" ht="12.75" customHeight="1">
      <c r="B112" s="20"/>
      <c r="C112" s="131"/>
      <c r="D112" s="22"/>
      <c r="E112" s="300"/>
      <c r="F112" s="30"/>
      <c r="G112" s="279"/>
      <c r="H112" s="122"/>
    </row>
    <row r="113" spans="1:8" s="128" customFormat="1" ht="14.5">
      <c r="B113" s="28"/>
      <c r="C113" s="130" t="s">
        <v>809</v>
      </c>
      <c r="D113" s="19">
        <f>+D111-D43</f>
        <v>1306301230.9890022</v>
      </c>
      <c r="E113" s="119">
        <f>+D111-E111</f>
        <v>0</v>
      </c>
      <c r="F113" s="62"/>
      <c r="G113" s="59"/>
      <c r="H113" s="56"/>
    </row>
    <row r="114" spans="1:8" ht="75" customHeight="1">
      <c r="B114" s="443" t="s">
        <v>353</v>
      </c>
      <c r="C114" s="444"/>
      <c r="D114" s="444"/>
      <c r="E114" s="120"/>
      <c r="F114" s="59"/>
      <c r="G114" s="59"/>
      <c r="H114" s="56"/>
    </row>
    <row r="115" spans="1:8" ht="18.649999999999999" customHeight="1">
      <c r="B115" s="445" t="s">
        <v>352</v>
      </c>
      <c r="C115" s="445"/>
      <c r="D115" s="445"/>
      <c r="F115" s="59"/>
      <c r="G115" s="59"/>
      <c r="H115" s="56"/>
    </row>
    <row r="116" spans="1:8" ht="12.65" customHeight="1">
      <c r="B116" s="446" t="s">
        <v>1377</v>
      </c>
      <c r="C116" s="444"/>
      <c r="D116" s="444"/>
      <c r="F116" s="59"/>
      <c r="G116" s="59"/>
      <c r="H116" s="56"/>
    </row>
    <row r="117" spans="1:8" ht="17.5" hidden="1" customHeight="1">
      <c r="D117" s="281">
        <v>1022117279.54</v>
      </c>
      <c r="E117" s="280" t="s">
        <v>1391</v>
      </c>
      <c r="F117" s="299">
        <f>SUBTOTAL(9,F109:F116)</f>
        <v>0</v>
      </c>
      <c r="G117" s="56"/>
      <c r="H117" s="56"/>
    </row>
    <row r="118" spans="1:8" ht="15.75" hidden="1" customHeight="1">
      <c r="D118" s="244">
        <f>Hoja1!D30</f>
        <v>169863808</v>
      </c>
    </row>
    <row r="119" spans="1:8" ht="15.75" hidden="1" customHeight="1">
      <c r="D119" s="244">
        <f>+D117-D111</f>
        <v>-7844883951.4490023</v>
      </c>
      <c r="F119" s="30">
        <v>27830</v>
      </c>
      <c r="G119" t="s">
        <v>1390</v>
      </c>
    </row>
    <row r="120" spans="1:8" ht="15.75" hidden="1" customHeight="1"/>
    <row r="121" spans="1:8" ht="15.75" hidden="1" customHeight="1">
      <c r="A121"/>
      <c r="D121" s="244">
        <f>D117+D118</f>
        <v>1191981087.54</v>
      </c>
      <c r="E121"/>
    </row>
    <row r="122" spans="1:8" ht="15.75" hidden="1" customHeight="1">
      <c r="A122"/>
      <c r="E122"/>
    </row>
    <row r="123" spans="1:8" ht="15.75" customHeight="1">
      <c r="A123"/>
      <c r="E123"/>
    </row>
    <row r="124" spans="1:8" ht="15.75" customHeight="1">
      <c r="A124"/>
      <c r="E124"/>
    </row>
    <row r="125" spans="1:8" ht="15.75" customHeight="1">
      <c r="A125"/>
      <c r="E125"/>
    </row>
    <row r="126" spans="1:8" ht="15.75" customHeight="1">
      <c r="A126"/>
      <c r="E126"/>
    </row>
    <row r="127" spans="1:8" ht="15.75" customHeight="1">
      <c r="A127"/>
      <c r="E127"/>
    </row>
    <row r="128" spans="1:8" ht="15.75" customHeight="1">
      <c r="A128"/>
      <c r="E128"/>
    </row>
    <row r="129" spans="1:5" ht="15.75" customHeight="1">
      <c r="A129"/>
      <c r="E129"/>
    </row>
    <row r="130" spans="1:5" ht="15.75" customHeight="1">
      <c r="A130"/>
      <c r="E130"/>
    </row>
    <row r="131" spans="1:5" ht="15.75" customHeight="1">
      <c r="A131"/>
      <c r="E131"/>
    </row>
    <row r="132" spans="1:5" ht="15.75" customHeight="1">
      <c r="A132"/>
      <c r="E132"/>
    </row>
    <row r="133" spans="1:5" ht="15.75" customHeight="1">
      <c r="A133"/>
      <c r="E133"/>
    </row>
    <row r="134" spans="1:5" ht="15.75" customHeight="1">
      <c r="A134"/>
      <c r="E134"/>
    </row>
    <row r="135" spans="1:5" ht="15.75" customHeight="1">
      <c r="A135"/>
      <c r="E135"/>
    </row>
    <row r="136" spans="1:5" ht="15.75" customHeight="1">
      <c r="A136"/>
      <c r="E136"/>
    </row>
    <row r="137" spans="1:5" ht="15.75" customHeight="1">
      <c r="A137"/>
      <c r="E137"/>
    </row>
    <row r="138" spans="1:5" ht="15.75" customHeight="1">
      <c r="A138"/>
      <c r="E138"/>
    </row>
    <row r="139" spans="1:5" ht="15.75" customHeight="1">
      <c r="A139"/>
      <c r="E139"/>
    </row>
    <row r="140" spans="1:5" ht="15.75" customHeight="1">
      <c r="A140"/>
      <c r="E140"/>
    </row>
    <row r="141" spans="1:5" ht="15.75" customHeight="1">
      <c r="A141"/>
      <c r="E141"/>
    </row>
    <row r="142" spans="1:5" ht="15.75" customHeight="1">
      <c r="A142"/>
      <c r="E142"/>
    </row>
    <row r="143" spans="1:5" ht="15.75" customHeight="1">
      <c r="A143"/>
      <c r="E143"/>
    </row>
    <row r="144" spans="1:5" ht="15.75" customHeight="1">
      <c r="A144"/>
      <c r="E144"/>
    </row>
    <row r="145" spans="1:5" ht="15.75" customHeight="1">
      <c r="A145"/>
      <c r="E145"/>
    </row>
    <row r="146" spans="1:5" ht="15.75" customHeight="1">
      <c r="A146"/>
      <c r="E146"/>
    </row>
    <row r="147" spans="1:5" ht="15.75" customHeight="1">
      <c r="A147"/>
      <c r="E147"/>
    </row>
    <row r="148" spans="1:5" ht="15.75" customHeight="1">
      <c r="A148"/>
      <c r="E148"/>
    </row>
    <row r="149" spans="1:5" ht="15.75" customHeight="1">
      <c r="A149"/>
      <c r="E149"/>
    </row>
    <row r="150" spans="1:5" ht="15.75" customHeight="1">
      <c r="A150"/>
      <c r="E150"/>
    </row>
    <row r="151" spans="1:5" ht="15.75" customHeight="1">
      <c r="A151"/>
      <c r="E151"/>
    </row>
    <row r="152" spans="1:5" ht="15.75" customHeight="1">
      <c r="A152"/>
      <c r="E152"/>
    </row>
    <row r="153" spans="1:5" ht="15.75" customHeight="1">
      <c r="A153"/>
      <c r="E153"/>
    </row>
    <row r="154" spans="1:5" ht="15.75" customHeight="1">
      <c r="A154"/>
      <c r="E154"/>
    </row>
    <row r="155" spans="1:5" ht="15.75" customHeight="1">
      <c r="A155"/>
      <c r="E155"/>
    </row>
    <row r="156" spans="1:5" ht="15.75" customHeight="1">
      <c r="A156"/>
      <c r="E156"/>
    </row>
    <row r="157" spans="1:5" ht="15.75" customHeight="1">
      <c r="A157"/>
      <c r="E157"/>
    </row>
    <row r="158" spans="1:5" ht="15.75" customHeight="1">
      <c r="A158"/>
      <c r="E158"/>
    </row>
    <row r="159" spans="1:5" ht="15.75" customHeight="1">
      <c r="A159"/>
      <c r="E159"/>
    </row>
    <row r="160" spans="1:5" ht="15.75" customHeight="1">
      <c r="A160"/>
      <c r="E160"/>
    </row>
    <row r="161" spans="1:5" ht="15.75" customHeight="1">
      <c r="A161"/>
      <c r="E161"/>
    </row>
    <row r="162" spans="1:5" ht="15.75" customHeight="1">
      <c r="A162"/>
      <c r="E162"/>
    </row>
    <row r="163" spans="1:5" ht="15.75" customHeight="1">
      <c r="A163"/>
      <c r="E163"/>
    </row>
    <row r="164" spans="1:5" ht="15.75" customHeight="1">
      <c r="A164"/>
      <c r="E164"/>
    </row>
    <row r="165" spans="1:5" ht="15.75" customHeight="1">
      <c r="A165"/>
      <c r="E165"/>
    </row>
    <row r="166" spans="1:5" ht="15.75" customHeight="1">
      <c r="A166"/>
      <c r="E166"/>
    </row>
    <row r="167" spans="1:5" ht="15.75" customHeight="1">
      <c r="A167"/>
      <c r="E167"/>
    </row>
    <row r="168" spans="1:5" ht="15.75" customHeight="1">
      <c r="A168"/>
      <c r="E168"/>
    </row>
    <row r="169" spans="1:5" ht="15.75" customHeight="1">
      <c r="A169"/>
      <c r="E169"/>
    </row>
    <row r="170" spans="1:5" ht="15.75" customHeight="1">
      <c r="A170"/>
      <c r="E170"/>
    </row>
    <row r="171" spans="1:5" ht="15.75" customHeight="1">
      <c r="A171"/>
      <c r="E171"/>
    </row>
    <row r="172" spans="1:5" ht="15.75" customHeight="1">
      <c r="A172"/>
      <c r="E172"/>
    </row>
    <row r="173" spans="1:5" ht="15.75" customHeight="1">
      <c r="A173"/>
      <c r="E173"/>
    </row>
    <row r="174" spans="1:5" ht="15.75" customHeight="1">
      <c r="A174"/>
      <c r="E174"/>
    </row>
    <row r="175" spans="1:5" ht="15.75" customHeight="1">
      <c r="A175"/>
      <c r="E175"/>
    </row>
    <row r="176" spans="1:5" ht="15.75" customHeight="1">
      <c r="A176"/>
      <c r="E176"/>
    </row>
    <row r="177" spans="1:5" ht="15.75" customHeight="1">
      <c r="A177"/>
      <c r="E177"/>
    </row>
    <row r="178" spans="1:5" ht="15.75" customHeight="1">
      <c r="A178"/>
      <c r="E178"/>
    </row>
    <row r="179" spans="1:5" ht="15.75" customHeight="1">
      <c r="A179"/>
      <c r="E179"/>
    </row>
    <row r="180" spans="1:5" ht="15.75" customHeight="1">
      <c r="A180"/>
      <c r="E180"/>
    </row>
    <row r="181" spans="1:5" ht="15.75" customHeight="1">
      <c r="A181"/>
      <c r="E181"/>
    </row>
    <row r="182" spans="1:5" ht="15.75" customHeight="1">
      <c r="A182"/>
      <c r="E182"/>
    </row>
    <row r="183" spans="1:5" ht="15.75" customHeight="1">
      <c r="A183"/>
      <c r="E183"/>
    </row>
    <row r="184" spans="1:5" ht="15.75" customHeight="1">
      <c r="A184"/>
      <c r="E184"/>
    </row>
    <row r="185" spans="1:5" ht="15.75" customHeight="1">
      <c r="A185"/>
      <c r="E185"/>
    </row>
    <row r="186" spans="1:5" ht="15.75" customHeight="1">
      <c r="A186"/>
      <c r="E186"/>
    </row>
    <row r="187" spans="1:5" ht="15.75" customHeight="1">
      <c r="A187"/>
      <c r="E187"/>
    </row>
    <row r="188" spans="1:5" ht="15.75" customHeight="1">
      <c r="A188"/>
      <c r="E188"/>
    </row>
    <row r="189" spans="1:5" ht="15.75" customHeight="1">
      <c r="A189"/>
      <c r="E189"/>
    </row>
    <row r="190" spans="1:5" ht="15.75" customHeight="1">
      <c r="A190"/>
      <c r="E190"/>
    </row>
    <row r="191" spans="1:5" ht="15.75" customHeight="1">
      <c r="A191"/>
      <c r="E191"/>
    </row>
    <row r="192" spans="1:5" ht="15.75" customHeight="1">
      <c r="A192"/>
      <c r="E192"/>
    </row>
    <row r="193" spans="1:5" ht="15.75" customHeight="1">
      <c r="A193"/>
      <c r="E193"/>
    </row>
    <row r="194" spans="1:5" ht="15.75" customHeight="1">
      <c r="A194"/>
      <c r="E194"/>
    </row>
    <row r="195" spans="1:5" ht="15.75" customHeight="1">
      <c r="A195"/>
      <c r="E195"/>
    </row>
    <row r="196" spans="1:5" ht="15.75" customHeight="1">
      <c r="A196"/>
      <c r="E196"/>
    </row>
    <row r="197" spans="1:5" ht="15.75" customHeight="1">
      <c r="A197"/>
      <c r="E197"/>
    </row>
    <row r="198" spans="1:5" ht="15.75" customHeight="1">
      <c r="A198"/>
      <c r="E198"/>
    </row>
    <row r="199" spans="1:5" ht="15.75" customHeight="1">
      <c r="A199"/>
      <c r="E199"/>
    </row>
    <row r="200" spans="1:5" ht="15.75" customHeight="1">
      <c r="A200"/>
      <c r="E200"/>
    </row>
    <row r="201" spans="1:5" ht="15.75" customHeight="1">
      <c r="A201"/>
      <c r="E201"/>
    </row>
    <row r="202" spans="1:5" ht="15.75" customHeight="1">
      <c r="A202"/>
      <c r="E202"/>
    </row>
    <row r="203" spans="1:5" ht="15.75" customHeight="1">
      <c r="A203"/>
      <c r="E203"/>
    </row>
    <row r="204" spans="1:5" ht="15.75" customHeight="1">
      <c r="A204"/>
      <c r="E204"/>
    </row>
    <row r="205" spans="1:5" ht="15.75" customHeight="1">
      <c r="A205"/>
      <c r="E205"/>
    </row>
    <row r="206" spans="1:5" ht="15.75" customHeight="1">
      <c r="A206"/>
      <c r="E206"/>
    </row>
    <row r="207" spans="1:5" ht="15.75" customHeight="1">
      <c r="A207"/>
      <c r="E207"/>
    </row>
    <row r="208" spans="1:5" ht="15.75" customHeight="1">
      <c r="A208"/>
      <c r="E208"/>
    </row>
    <row r="209" spans="1:5" ht="15.75" customHeight="1">
      <c r="A209"/>
      <c r="E209"/>
    </row>
    <row r="210" spans="1:5" ht="15.75" customHeight="1">
      <c r="A210"/>
      <c r="E210"/>
    </row>
    <row r="211" spans="1:5" ht="15.75" customHeight="1">
      <c r="A211"/>
      <c r="E211"/>
    </row>
    <row r="212" spans="1:5" ht="15.75" customHeight="1">
      <c r="A212"/>
      <c r="E212"/>
    </row>
    <row r="213" spans="1:5" ht="15.75" customHeight="1">
      <c r="A213"/>
      <c r="E213"/>
    </row>
    <row r="214" spans="1:5" ht="15.75" customHeight="1">
      <c r="A214"/>
      <c r="E214"/>
    </row>
    <row r="215" spans="1:5" ht="15.75" customHeight="1">
      <c r="A215"/>
      <c r="E215"/>
    </row>
    <row r="216" spans="1:5" ht="15.75" customHeight="1">
      <c r="A216"/>
      <c r="E216"/>
    </row>
    <row r="217" spans="1:5" ht="15.75" customHeight="1">
      <c r="A217"/>
      <c r="E217"/>
    </row>
    <row r="218" spans="1:5" ht="15.75" customHeight="1">
      <c r="A218"/>
      <c r="E218"/>
    </row>
    <row r="219" spans="1:5" ht="15.75" customHeight="1">
      <c r="A219"/>
      <c r="E219"/>
    </row>
    <row r="220" spans="1:5" ht="15.75" customHeight="1">
      <c r="A220"/>
      <c r="E220"/>
    </row>
    <row r="221" spans="1:5" ht="15.75" customHeight="1">
      <c r="A221"/>
      <c r="E221"/>
    </row>
    <row r="222" spans="1:5" ht="15.75" customHeight="1">
      <c r="A222"/>
      <c r="E222"/>
    </row>
    <row r="223" spans="1:5" ht="15.75" customHeight="1">
      <c r="A223"/>
      <c r="E223"/>
    </row>
    <row r="224" spans="1:5" ht="15.75" customHeight="1">
      <c r="A224"/>
      <c r="E224"/>
    </row>
    <row r="225" spans="1:5" ht="15.75" customHeight="1">
      <c r="A225"/>
      <c r="E225"/>
    </row>
    <row r="226" spans="1:5" ht="15.75" customHeight="1">
      <c r="A226"/>
      <c r="E226"/>
    </row>
    <row r="227" spans="1:5" ht="15.75" customHeight="1">
      <c r="A227"/>
      <c r="E227"/>
    </row>
    <row r="228" spans="1:5" ht="15.75" customHeight="1">
      <c r="A228"/>
      <c r="E228"/>
    </row>
    <row r="229" spans="1:5" ht="15.75" customHeight="1">
      <c r="A229"/>
      <c r="E229"/>
    </row>
    <row r="230" spans="1:5" ht="15.75" customHeight="1">
      <c r="A230"/>
      <c r="E230"/>
    </row>
    <row r="231" spans="1:5" ht="15.75" customHeight="1">
      <c r="A231"/>
      <c r="E231"/>
    </row>
    <row r="232" spans="1:5" ht="15.75" customHeight="1">
      <c r="A232"/>
      <c r="E232"/>
    </row>
    <row r="233" spans="1:5" ht="15.75" customHeight="1">
      <c r="A233"/>
      <c r="E233"/>
    </row>
    <row r="234" spans="1:5" ht="15.75" customHeight="1">
      <c r="A234"/>
      <c r="E234"/>
    </row>
    <row r="235" spans="1:5" ht="15.75" customHeight="1">
      <c r="A235"/>
      <c r="E235"/>
    </row>
    <row r="236" spans="1:5" ht="15.75" customHeight="1">
      <c r="A236"/>
      <c r="E236"/>
    </row>
    <row r="237" spans="1:5" ht="15.75" customHeight="1">
      <c r="A237"/>
      <c r="E237"/>
    </row>
    <row r="238" spans="1:5" ht="15.75" customHeight="1">
      <c r="A238"/>
      <c r="E238"/>
    </row>
    <row r="239" spans="1:5" ht="15.75" customHeight="1">
      <c r="A239"/>
      <c r="E239"/>
    </row>
    <row r="240" spans="1:5" ht="15.75" customHeight="1">
      <c r="A240"/>
      <c r="E240"/>
    </row>
    <row r="241" spans="1:5" ht="15.75" customHeight="1">
      <c r="A241"/>
      <c r="E241"/>
    </row>
    <row r="242" spans="1:5" ht="15.75" customHeight="1">
      <c r="A242"/>
      <c r="E242"/>
    </row>
    <row r="243" spans="1:5" ht="15.75" customHeight="1">
      <c r="A243"/>
      <c r="E243"/>
    </row>
    <row r="244" spans="1:5" ht="15.75" customHeight="1">
      <c r="A244"/>
      <c r="E244"/>
    </row>
    <row r="245" spans="1:5" ht="15.75" customHeight="1">
      <c r="A245"/>
      <c r="E245"/>
    </row>
    <row r="246" spans="1:5" ht="15.75" customHeight="1">
      <c r="A246"/>
      <c r="E246"/>
    </row>
    <row r="247" spans="1:5" ht="15.75" customHeight="1">
      <c r="A247"/>
      <c r="E247"/>
    </row>
    <row r="248" spans="1:5" ht="15.75" customHeight="1">
      <c r="A248"/>
      <c r="E248"/>
    </row>
    <row r="249" spans="1:5" ht="15.75" customHeight="1">
      <c r="A249"/>
      <c r="E249"/>
    </row>
    <row r="250" spans="1:5" ht="15.75" customHeight="1">
      <c r="A250"/>
      <c r="E250"/>
    </row>
    <row r="251" spans="1:5" ht="15.75" customHeight="1">
      <c r="A251"/>
      <c r="E251"/>
    </row>
    <row r="252" spans="1:5" ht="15.75" customHeight="1">
      <c r="A252"/>
      <c r="E252"/>
    </row>
    <row r="253" spans="1:5" ht="15.75" customHeight="1">
      <c r="A253"/>
      <c r="E253"/>
    </row>
    <row r="254" spans="1:5" ht="15.75" customHeight="1">
      <c r="A254"/>
      <c r="E254"/>
    </row>
    <row r="255" spans="1:5" ht="15.75" customHeight="1">
      <c r="A255"/>
      <c r="E255"/>
    </row>
    <row r="256" spans="1:5" ht="15.75" customHeight="1">
      <c r="A256"/>
      <c r="E256"/>
    </row>
    <row r="257" spans="1:5" ht="15.75" customHeight="1">
      <c r="A257"/>
      <c r="E257"/>
    </row>
    <row r="258" spans="1:5" ht="15.75" customHeight="1">
      <c r="A258"/>
      <c r="E258"/>
    </row>
    <row r="259" spans="1:5" ht="15.75" customHeight="1">
      <c r="A259"/>
      <c r="E259"/>
    </row>
    <row r="260" spans="1:5" ht="15.75" customHeight="1">
      <c r="A260"/>
      <c r="E260"/>
    </row>
    <row r="261" spans="1:5" ht="15.75" customHeight="1">
      <c r="A261"/>
      <c r="E261"/>
    </row>
    <row r="262" spans="1:5" ht="15.75" customHeight="1">
      <c r="A262"/>
      <c r="E262"/>
    </row>
    <row r="263" spans="1:5" ht="15.75" customHeight="1">
      <c r="A263"/>
      <c r="E263"/>
    </row>
    <row r="264" spans="1:5" ht="15.75" customHeight="1">
      <c r="A264"/>
      <c r="E264"/>
    </row>
    <row r="265" spans="1:5" ht="15.75" customHeight="1">
      <c r="A265"/>
      <c r="E265"/>
    </row>
    <row r="266" spans="1:5" ht="15.75" customHeight="1">
      <c r="A266"/>
      <c r="E266"/>
    </row>
    <row r="267" spans="1:5" ht="15.75" customHeight="1">
      <c r="A267"/>
      <c r="E267"/>
    </row>
    <row r="268" spans="1:5" ht="15.75" customHeight="1">
      <c r="A268"/>
      <c r="E268"/>
    </row>
    <row r="269" spans="1:5" ht="15.75" customHeight="1">
      <c r="A269"/>
      <c r="E269"/>
    </row>
    <row r="270" spans="1:5" ht="15.75" customHeight="1">
      <c r="A270"/>
      <c r="E270"/>
    </row>
    <row r="271" spans="1:5" ht="15.75" customHeight="1">
      <c r="A271"/>
      <c r="E271"/>
    </row>
    <row r="272" spans="1:5" ht="15.75" customHeight="1">
      <c r="A272"/>
      <c r="E272"/>
    </row>
    <row r="273" spans="1:5" ht="15.75" customHeight="1">
      <c r="A273"/>
      <c r="E273"/>
    </row>
    <row r="274" spans="1:5" ht="15.75" customHeight="1">
      <c r="A274"/>
      <c r="E274"/>
    </row>
    <row r="275" spans="1:5" ht="15.75" customHeight="1">
      <c r="A275"/>
      <c r="E275"/>
    </row>
    <row r="276" spans="1:5" ht="15.75" customHeight="1">
      <c r="A276"/>
      <c r="E276"/>
    </row>
    <row r="277" spans="1:5" ht="15.75" customHeight="1">
      <c r="A277"/>
      <c r="E277"/>
    </row>
    <row r="278" spans="1:5" ht="15.75" customHeight="1">
      <c r="A278"/>
      <c r="E278"/>
    </row>
    <row r="279" spans="1:5" ht="15.75" customHeight="1">
      <c r="A279"/>
      <c r="E279"/>
    </row>
    <row r="280" spans="1:5" ht="15.75" customHeight="1">
      <c r="A280"/>
      <c r="E280"/>
    </row>
    <row r="281" spans="1:5" ht="15.75" customHeight="1">
      <c r="A281"/>
      <c r="E281"/>
    </row>
    <row r="282" spans="1:5" ht="15.75" customHeight="1">
      <c r="A282"/>
      <c r="E282"/>
    </row>
    <row r="283" spans="1:5" ht="15.75" customHeight="1">
      <c r="A283"/>
      <c r="E283"/>
    </row>
    <row r="284" spans="1:5" ht="15.75" customHeight="1">
      <c r="A284"/>
      <c r="E284"/>
    </row>
    <row r="285" spans="1:5" ht="15.75" customHeight="1">
      <c r="A285"/>
      <c r="E285"/>
    </row>
    <row r="286" spans="1:5" ht="15.75" customHeight="1">
      <c r="A286"/>
      <c r="E286"/>
    </row>
    <row r="287" spans="1:5" ht="15.75" customHeight="1">
      <c r="A287"/>
      <c r="E287"/>
    </row>
    <row r="288" spans="1:5" ht="15.75" customHeight="1">
      <c r="A288"/>
      <c r="E288"/>
    </row>
    <row r="289" spans="1:5" ht="15.75" customHeight="1">
      <c r="A289"/>
      <c r="E289"/>
    </row>
    <row r="290" spans="1:5" ht="15.75" customHeight="1">
      <c r="A290"/>
      <c r="E290"/>
    </row>
    <row r="291" spans="1:5" ht="15.75" customHeight="1">
      <c r="A291"/>
      <c r="E291"/>
    </row>
    <row r="292" spans="1:5" ht="15.75" customHeight="1">
      <c r="A292"/>
      <c r="E292"/>
    </row>
    <row r="293" spans="1:5" ht="15.75" customHeight="1">
      <c r="A293"/>
      <c r="E293"/>
    </row>
    <row r="294" spans="1:5" ht="15.75" customHeight="1">
      <c r="A294"/>
      <c r="E294"/>
    </row>
    <row r="295" spans="1:5" ht="15.75" customHeight="1">
      <c r="A295"/>
      <c r="E295"/>
    </row>
    <row r="296" spans="1:5" ht="15.75" customHeight="1">
      <c r="A296"/>
      <c r="E296"/>
    </row>
    <row r="297" spans="1:5" ht="15.75" customHeight="1">
      <c r="A297"/>
      <c r="E297"/>
    </row>
    <row r="298" spans="1:5" ht="15.75" customHeight="1">
      <c r="A298"/>
      <c r="E298"/>
    </row>
    <row r="299" spans="1:5" ht="15.75" customHeight="1">
      <c r="A299"/>
      <c r="E299"/>
    </row>
    <row r="300" spans="1:5" ht="15.75" customHeight="1">
      <c r="A300"/>
      <c r="E300"/>
    </row>
    <row r="301" spans="1:5" ht="15.75" customHeight="1">
      <c r="A301"/>
      <c r="E301"/>
    </row>
    <row r="302" spans="1:5" ht="15.75" customHeight="1">
      <c r="A302"/>
      <c r="E302"/>
    </row>
    <row r="303" spans="1:5" ht="15.75" customHeight="1">
      <c r="A303"/>
      <c r="E303"/>
    </row>
    <row r="304" spans="1:5" ht="15.75" customHeight="1">
      <c r="A304"/>
      <c r="E304"/>
    </row>
    <row r="305" spans="1:5" ht="15.75" customHeight="1">
      <c r="A305"/>
      <c r="E305"/>
    </row>
    <row r="306" spans="1:5" ht="15.75" customHeight="1">
      <c r="A306"/>
      <c r="E306"/>
    </row>
    <row r="307" spans="1:5" ht="15.75" customHeight="1">
      <c r="A307"/>
      <c r="E307"/>
    </row>
    <row r="308" spans="1:5" ht="15.75" customHeight="1">
      <c r="A308"/>
      <c r="E308"/>
    </row>
    <row r="309" spans="1:5" ht="15.75" customHeight="1">
      <c r="A309"/>
      <c r="E309"/>
    </row>
    <row r="310" spans="1:5" ht="15.75" customHeight="1">
      <c r="A310"/>
      <c r="E310"/>
    </row>
    <row r="311" spans="1:5" ht="15.75" customHeight="1">
      <c r="A311"/>
      <c r="E311"/>
    </row>
    <row r="312" spans="1:5" ht="15.75" customHeight="1">
      <c r="A312"/>
      <c r="E312"/>
    </row>
    <row r="313" spans="1:5" ht="15.75" customHeight="1">
      <c r="A313"/>
      <c r="E313"/>
    </row>
    <row r="314" spans="1:5" ht="15.75" customHeight="1">
      <c r="A314"/>
      <c r="E314"/>
    </row>
    <row r="315" spans="1:5" ht="15.75" customHeight="1">
      <c r="A315"/>
      <c r="E315"/>
    </row>
    <row r="316" spans="1:5" ht="15.75" customHeight="1">
      <c r="A316"/>
      <c r="E316"/>
    </row>
    <row r="317" spans="1:5" ht="15.75" customHeight="1">
      <c r="A317"/>
      <c r="E317"/>
    </row>
    <row r="318" spans="1:5" ht="15.75" customHeight="1">
      <c r="A318"/>
      <c r="E318"/>
    </row>
    <row r="319" spans="1:5" ht="15.75" customHeight="1">
      <c r="A319"/>
      <c r="E319"/>
    </row>
    <row r="320" spans="1:5" ht="15.75" customHeight="1">
      <c r="A320"/>
      <c r="E320"/>
    </row>
    <row r="321" spans="1:5" ht="15.75" customHeight="1">
      <c r="A321"/>
      <c r="E321"/>
    </row>
    <row r="322" spans="1:5" ht="15.75" customHeight="1">
      <c r="A322"/>
      <c r="E322"/>
    </row>
    <row r="323" spans="1:5" ht="15.75" customHeight="1">
      <c r="A323"/>
      <c r="E323"/>
    </row>
    <row r="324" spans="1:5" ht="15.75" customHeight="1">
      <c r="A324"/>
      <c r="E324"/>
    </row>
    <row r="325" spans="1:5" ht="15.75" customHeight="1">
      <c r="A325"/>
      <c r="E325"/>
    </row>
    <row r="326" spans="1:5" ht="15.75" customHeight="1">
      <c r="A326"/>
      <c r="E326"/>
    </row>
    <row r="327" spans="1:5" ht="15.75" customHeight="1">
      <c r="A327"/>
      <c r="E327"/>
    </row>
    <row r="328" spans="1:5" ht="15.75" customHeight="1">
      <c r="A328"/>
      <c r="E328"/>
    </row>
    <row r="329" spans="1:5" ht="15.75" customHeight="1">
      <c r="A329"/>
      <c r="E329"/>
    </row>
    <row r="330" spans="1:5" ht="15.75" customHeight="1">
      <c r="A330"/>
      <c r="E330"/>
    </row>
    <row r="331" spans="1:5" ht="15.75" customHeight="1">
      <c r="A331"/>
      <c r="E331"/>
    </row>
    <row r="332" spans="1:5" ht="15.75" customHeight="1">
      <c r="A332"/>
      <c r="E332"/>
    </row>
    <row r="333" spans="1:5" ht="15.75" customHeight="1">
      <c r="A333"/>
      <c r="E333"/>
    </row>
    <row r="334" spans="1:5" ht="15.75" customHeight="1">
      <c r="A334"/>
      <c r="E334"/>
    </row>
    <row r="335" spans="1:5" ht="15.75" customHeight="1">
      <c r="A335"/>
      <c r="E335"/>
    </row>
    <row r="336" spans="1:5" ht="15.75" customHeight="1">
      <c r="A336"/>
      <c r="E336"/>
    </row>
    <row r="337" spans="1:5" ht="15.75" customHeight="1">
      <c r="A337"/>
      <c r="E337"/>
    </row>
    <row r="338" spans="1:5" ht="15.75" customHeight="1">
      <c r="A338"/>
      <c r="E338"/>
    </row>
    <row r="339" spans="1:5" ht="15.75" customHeight="1">
      <c r="A339"/>
      <c r="E339"/>
    </row>
    <row r="340" spans="1:5" ht="15.75" customHeight="1">
      <c r="A340"/>
      <c r="E340"/>
    </row>
    <row r="341" spans="1:5" ht="15.75" customHeight="1">
      <c r="A341"/>
      <c r="E341"/>
    </row>
    <row r="342" spans="1:5" ht="15.75" customHeight="1">
      <c r="A342"/>
      <c r="E342"/>
    </row>
    <row r="343" spans="1:5" ht="15.75" customHeight="1">
      <c r="A343"/>
      <c r="E343"/>
    </row>
    <row r="344" spans="1:5" ht="15.75" customHeight="1">
      <c r="A344"/>
      <c r="E344"/>
    </row>
    <row r="345" spans="1:5" ht="15.75" customHeight="1">
      <c r="A345"/>
      <c r="E345"/>
    </row>
    <row r="346" spans="1:5" ht="15.75" customHeight="1">
      <c r="A346"/>
      <c r="E346"/>
    </row>
    <row r="347" spans="1:5" ht="15.75" customHeight="1">
      <c r="A347"/>
      <c r="E347"/>
    </row>
    <row r="348" spans="1:5" ht="15.75" customHeight="1">
      <c r="A348"/>
      <c r="E348"/>
    </row>
    <row r="349" spans="1:5" ht="15.75" customHeight="1">
      <c r="A349"/>
      <c r="E349"/>
    </row>
    <row r="350" spans="1:5" ht="15.75" customHeight="1">
      <c r="A350"/>
      <c r="E350"/>
    </row>
    <row r="351" spans="1:5" ht="15.75" customHeight="1">
      <c r="A351"/>
      <c r="E351"/>
    </row>
    <row r="352" spans="1:5" ht="15.75" customHeight="1">
      <c r="A352"/>
      <c r="E352"/>
    </row>
    <row r="353" spans="1:5" ht="15.75" customHeight="1">
      <c r="A353"/>
      <c r="E353"/>
    </row>
    <row r="354" spans="1:5" ht="15.75" customHeight="1">
      <c r="A354"/>
      <c r="E354"/>
    </row>
    <row r="355" spans="1:5" ht="15.75" customHeight="1">
      <c r="A355"/>
      <c r="E355"/>
    </row>
    <row r="356" spans="1:5" ht="15.75" customHeight="1">
      <c r="A356"/>
      <c r="E356"/>
    </row>
    <row r="357" spans="1:5" ht="15.75" customHeight="1">
      <c r="A357"/>
      <c r="E357"/>
    </row>
    <row r="358" spans="1:5" ht="15.75" customHeight="1">
      <c r="A358"/>
      <c r="E358"/>
    </row>
    <row r="359" spans="1:5" ht="15.75" customHeight="1">
      <c r="A359"/>
      <c r="E359"/>
    </row>
    <row r="360" spans="1:5" ht="15.75" customHeight="1">
      <c r="A360"/>
      <c r="E360"/>
    </row>
    <row r="361" spans="1:5" ht="15.75" customHeight="1">
      <c r="A361"/>
      <c r="E361"/>
    </row>
    <row r="362" spans="1:5" ht="15.75" customHeight="1">
      <c r="A362"/>
      <c r="E362"/>
    </row>
    <row r="363" spans="1:5" ht="15.75" customHeight="1">
      <c r="A363"/>
      <c r="E363"/>
    </row>
    <row r="364" spans="1:5" ht="15.75" customHeight="1">
      <c r="A364"/>
      <c r="E364"/>
    </row>
    <row r="365" spans="1:5" ht="15.75" customHeight="1">
      <c r="A365"/>
      <c r="E365"/>
    </row>
    <row r="366" spans="1:5" ht="15.75" customHeight="1">
      <c r="A366"/>
      <c r="E366"/>
    </row>
    <row r="367" spans="1:5" ht="15.75" customHeight="1">
      <c r="A367"/>
      <c r="E367"/>
    </row>
    <row r="368" spans="1:5" ht="15.75" customHeight="1">
      <c r="A368"/>
      <c r="E368"/>
    </row>
    <row r="369" spans="1:5" ht="15.75" customHeight="1">
      <c r="A369"/>
      <c r="E369"/>
    </row>
    <row r="370" spans="1:5" ht="15.75" customHeight="1">
      <c r="A370"/>
      <c r="E370"/>
    </row>
    <row r="371" spans="1:5" ht="15.75" customHeight="1">
      <c r="A371"/>
      <c r="E371"/>
    </row>
    <row r="372" spans="1:5" ht="15.75" customHeight="1">
      <c r="A372"/>
      <c r="E372"/>
    </row>
    <row r="373" spans="1:5" ht="15.75" customHeight="1">
      <c r="A373"/>
      <c r="E373"/>
    </row>
    <row r="374" spans="1:5" ht="15.75" customHeight="1">
      <c r="A374"/>
      <c r="E374"/>
    </row>
    <row r="375" spans="1:5" ht="15.75" customHeight="1">
      <c r="A375"/>
      <c r="E375"/>
    </row>
    <row r="376" spans="1:5" ht="15.75" customHeight="1">
      <c r="A376"/>
      <c r="E376"/>
    </row>
    <row r="377" spans="1:5" ht="15.75" customHeight="1">
      <c r="A377"/>
      <c r="E377"/>
    </row>
    <row r="378" spans="1:5" ht="15.75" customHeight="1">
      <c r="A378"/>
      <c r="E378"/>
    </row>
    <row r="379" spans="1:5" ht="15.75" customHeight="1">
      <c r="A379"/>
      <c r="E379"/>
    </row>
    <row r="380" spans="1:5" ht="15.75" customHeight="1">
      <c r="A380"/>
      <c r="E380"/>
    </row>
    <row r="381" spans="1:5" ht="15.75" customHeight="1">
      <c r="A381"/>
      <c r="E381"/>
    </row>
    <row r="382" spans="1:5" ht="15.75" customHeight="1">
      <c r="A382"/>
      <c r="E382"/>
    </row>
    <row r="383" spans="1:5" ht="15.75" customHeight="1">
      <c r="A383"/>
      <c r="E383"/>
    </row>
    <row r="384" spans="1:5" ht="15.75" customHeight="1">
      <c r="A384"/>
      <c r="E384"/>
    </row>
    <row r="385" spans="1:5" ht="15.75" customHeight="1">
      <c r="A385"/>
      <c r="E385"/>
    </row>
    <row r="386" spans="1:5" ht="15.75" customHeight="1">
      <c r="A386"/>
      <c r="E386"/>
    </row>
    <row r="387" spans="1:5" ht="15.75" customHeight="1">
      <c r="A387"/>
      <c r="E387"/>
    </row>
    <row r="388" spans="1:5" ht="15.75" customHeight="1">
      <c r="A388"/>
      <c r="E388"/>
    </row>
    <row r="389" spans="1:5" ht="15.75" customHeight="1">
      <c r="A389"/>
      <c r="E389"/>
    </row>
    <row r="390" spans="1:5" ht="15.75" customHeight="1">
      <c r="A390"/>
      <c r="E390"/>
    </row>
    <row r="391" spans="1:5" ht="15.75" customHeight="1">
      <c r="A391"/>
      <c r="E391"/>
    </row>
    <row r="392" spans="1:5" ht="15.75" customHeight="1">
      <c r="A392"/>
      <c r="E392"/>
    </row>
    <row r="393" spans="1:5" ht="15.75" customHeight="1">
      <c r="A393"/>
      <c r="E393"/>
    </row>
    <row r="394" spans="1:5" ht="15.75" customHeight="1">
      <c r="A394"/>
      <c r="E394"/>
    </row>
    <row r="395" spans="1:5" ht="15.75" customHeight="1">
      <c r="A395"/>
      <c r="E395"/>
    </row>
    <row r="396" spans="1:5" ht="15.75" customHeight="1">
      <c r="A396"/>
      <c r="E396"/>
    </row>
    <row r="397" spans="1:5" ht="15.75" customHeight="1">
      <c r="A397"/>
      <c r="E397"/>
    </row>
    <row r="398" spans="1:5" ht="15.75" customHeight="1">
      <c r="A398"/>
      <c r="E398"/>
    </row>
    <row r="399" spans="1:5" ht="15.75" customHeight="1">
      <c r="A399"/>
      <c r="E399"/>
    </row>
    <row r="400" spans="1:5" ht="15.75" customHeight="1">
      <c r="A400"/>
      <c r="E400"/>
    </row>
    <row r="401" spans="1:5" ht="15.75" customHeight="1">
      <c r="A401"/>
      <c r="E401"/>
    </row>
    <row r="402" spans="1:5" ht="15.75" customHeight="1">
      <c r="A402"/>
      <c r="E402"/>
    </row>
    <row r="403" spans="1:5" ht="15.75" customHeight="1">
      <c r="A403"/>
      <c r="E403"/>
    </row>
    <row r="404" spans="1:5" ht="15.75" customHeight="1">
      <c r="A404"/>
      <c r="E404"/>
    </row>
    <row r="405" spans="1:5" ht="15.75" customHeight="1">
      <c r="A405"/>
      <c r="E405"/>
    </row>
    <row r="406" spans="1:5" ht="15.75" customHeight="1">
      <c r="A406"/>
      <c r="E406"/>
    </row>
    <row r="407" spans="1:5" ht="15.75" customHeight="1">
      <c r="A407"/>
      <c r="E407"/>
    </row>
    <row r="408" spans="1:5" ht="15.75" customHeight="1">
      <c r="A408"/>
      <c r="E408"/>
    </row>
    <row r="409" spans="1:5" ht="15.75" customHeight="1">
      <c r="A409"/>
      <c r="E409"/>
    </row>
    <row r="410" spans="1:5" ht="15.75" customHeight="1">
      <c r="A410"/>
      <c r="E410"/>
    </row>
    <row r="411" spans="1:5" ht="15.75" customHeight="1">
      <c r="A411"/>
      <c r="E411"/>
    </row>
    <row r="412" spans="1:5" ht="15.75" customHeight="1">
      <c r="A412"/>
      <c r="E412"/>
    </row>
    <row r="413" spans="1:5" ht="15.75" customHeight="1">
      <c r="A413"/>
      <c r="E413"/>
    </row>
    <row r="414" spans="1:5" ht="15.75" customHeight="1">
      <c r="A414"/>
      <c r="E414"/>
    </row>
    <row r="415" spans="1:5" ht="15.75" customHeight="1">
      <c r="A415"/>
      <c r="E415"/>
    </row>
    <row r="416" spans="1:5" ht="15.75" customHeight="1">
      <c r="A416"/>
      <c r="E416"/>
    </row>
    <row r="417" spans="1:5" ht="15.75" customHeight="1">
      <c r="A417"/>
      <c r="E417"/>
    </row>
    <row r="418" spans="1:5" ht="15.75" customHeight="1">
      <c r="A418"/>
      <c r="E418"/>
    </row>
    <row r="419" spans="1:5" ht="15.75" customHeight="1">
      <c r="A419"/>
      <c r="E419"/>
    </row>
    <row r="420" spans="1:5" ht="15.75" customHeight="1">
      <c r="A420"/>
      <c r="E420"/>
    </row>
    <row r="421" spans="1:5" ht="15.75" customHeight="1">
      <c r="A421"/>
      <c r="E421"/>
    </row>
    <row r="422" spans="1:5" ht="15.75" customHeight="1">
      <c r="A422"/>
      <c r="E422"/>
    </row>
    <row r="423" spans="1:5" ht="15.75" customHeight="1">
      <c r="A423"/>
      <c r="E423"/>
    </row>
    <row r="424" spans="1:5" ht="15.75" customHeight="1">
      <c r="A424"/>
      <c r="E424"/>
    </row>
    <row r="425" spans="1:5" ht="15.75" customHeight="1">
      <c r="A425"/>
      <c r="E425"/>
    </row>
    <row r="426" spans="1:5" ht="15.75" customHeight="1">
      <c r="A426"/>
      <c r="E426"/>
    </row>
    <row r="427" spans="1:5" ht="15.75" customHeight="1">
      <c r="A427"/>
      <c r="E427"/>
    </row>
    <row r="428" spans="1:5" ht="15.75" customHeight="1">
      <c r="A428"/>
      <c r="E428"/>
    </row>
    <row r="429" spans="1:5" ht="15.75" customHeight="1">
      <c r="A429"/>
      <c r="E429"/>
    </row>
    <row r="430" spans="1:5" ht="15.75" customHeight="1">
      <c r="A430"/>
      <c r="E430"/>
    </row>
    <row r="431" spans="1:5" ht="15.75" customHeight="1">
      <c r="A431"/>
      <c r="E431"/>
    </row>
    <row r="432" spans="1:5" ht="15.75" customHeight="1">
      <c r="A432"/>
      <c r="E432"/>
    </row>
    <row r="433" spans="1:5" ht="15.75" customHeight="1">
      <c r="A433"/>
      <c r="E433"/>
    </row>
    <row r="434" spans="1:5" ht="15.75" customHeight="1">
      <c r="A434"/>
      <c r="E434"/>
    </row>
    <row r="435" spans="1:5" ht="15.75" customHeight="1">
      <c r="A435"/>
      <c r="E435"/>
    </row>
    <row r="436" spans="1:5" ht="15.75" customHeight="1">
      <c r="A436"/>
      <c r="E436"/>
    </row>
    <row r="437" spans="1:5" ht="15.75" customHeight="1">
      <c r="A437"/>
      <c r="E437"/>
    </row>
    <row r="438" spans="1:5" ht="15.75" customHeight="1">
      <c r="A438"/>
      <c r="E438"/>
    </row>
    <row r="439" spans="1:5" ht="15.75" customHeight="1">
      <c r="A439"/>
      <c r="E439"/>
    </row>
    <row r="440" spans="1:5" ht="15.75" customHeight="1">
      <c r="A440"/>
      <c r="E440"/>
    </row>
    <row r="441" spans="1:5" ht="15.75" customHeight="1">
      <c r="A441"/>
      <c r="E441"/>
    </row>
    <row r="442" spans="1:5" ht="15.75" customHeight="1">
      <c r="A442"/>
      <c r="E442"/>
    </row>
    <row r="443" spans="1:5" ht="15.75" customHeight="1">
      <c r="A443"/>
      <c r="E443"/>
    </row>
    <row r="444" spans="1:5" ht="15.75" customHeight="1">
      <c r="A444"/>
      <c r="E444"/>
    </row>
    <row r="445" spans="1:5" ht="15.75" customHeight="1">
      <c r="A445"/>
      <c r="E445"/>
    </row>
    <row r="446" spans="1:5" ht="15.75" customHeight="1">
      <c r="A446"/>
      <c r="E446"/>
    </row>
    <row r="447" spans="1:5" ht="15.75" customHeight="1">
      <c r="A447"/>
      <c r="E447"/>
    </row>
    <row r="448" spans="1:5" ht="15.75" customHeight="1">
      <c r="A448"/>
      <c r="E448"/>
    </row>
    <row r="449" spans="1:5" ht="15.75" customHeight="1">
      <c r="A449"/>
      <c r="E449"/>
    </row>
    <row r="450" spans="1:5" ht="15.75" customHeight="1">
      <c r="A450"/>
      <c r="E450"/>
    </row>
    <row r="451" spans="1:5" ht="15.75" customHeight="1">
      <c r="A451"/>
      <c r="E451"/>
    </row>
    <row r="452" spans="1:5" ht="15.75" customHeight="1">
      <c r="A452"/>
      <c r="E452"/>
    </row>
    <row r="453" spans="1:5" ht="15.75" customHeight="1">
      <c r="A453"/>
      <c r="E453"/>
    </row>
    <row r="454" spans="1:5" ht="15.75" customHeight="1">
      <c r="A454"/>
      <c r="E454"/>
    </row>
    <row r="455" spans="1:5" ht="15.75" customHeight="1">
      <c r="A455"/>
      <c r="E455"/>
    </row>
    <row r="456" spans="1:5" ht="15.75" customHeight="1">
      <c r="A456"/>
      <c r="E456"/>
    </row>
    <row r="457" spans="1:5" ht="15.75" customHeight="1">
      <c r="A457"/>
      <c r="E457"/>
    </row>
    <row r="458" spans="1:5" ht="15.75" customHeight="1">
      <c r="A458"/>
      <c r="E458"/>
    </row>
    <row r="459" spans="1:5" ht="15.75" customHeight="1">
      <c r="A459"/>
      <c r="E459"/>
    </row>
    <row r="460" spans="1:5" ht="15.75" customHeight="1">
      <c r="A460"/>
      <c r="E460"/>
    </row>
    <row r="461" spans="1:5" ht="15.75" customHeight="1">
      <c r="A461"/>
      <c r="E461"/>
    </row>
    <row r="462" spans="1:5" ht="15.75" customHeight="1">
      <c r="A462"/>
      <c r="E462"/>
    </row>
    <row r="463" spans="1:5" ht="15.75" customHeight="1">
      <c r="A463"/>
      <c r="E463"/>
    </row>
    <row r="464" spans="1:5" ht="15.75" customHeight="1">
      <c r="A464"/>
      <c r="E464"/>
    </row>
    <row r="465" spans="1:5" ht="15.75" customHeight="1">
      <c r="A465"/>
      <c r="E465"/>
    </row>
    <row r="466" spans="1:5" ht="15.75" customHeight="1">
      <c r="A466"/>
      <c r="E466"/>
    </row>
    <row r="467" spans="1:5" ht="15.75" customHeight="1">
      <c r="A467"/>
      <c r="E467"/>
    </row>
    <row r="468" spans="1:5" ht="15.75" customHeight="1">
      <c r="A468"/>
      <c r="E468"/>
    </row>
    <row r="469" spans="1:5" ht="15.75" customHeight="1">
      <c r="A469"/>
      <c r="E469"/>
    </row>
    <row r="470" spans="1:5" ht="15.75" customHeight="1">
      <c r="A470"/>
      <c r="E470"/>
    </row>
    <row r="471" spans="1:5" ht="15.75" customHeight="1">
      <c r="A471"/>
      <c r="E471"/>
    </row>
    <row r="472" spans="1:5" ht="15.75" customHeight="1">
      <c r="A472"/>
      <c r="E472"/>
    </row>
    <row r="473" spans="1:5" ht="15.75" customHeight="1">
      <c r="A473"/>
      <c r="E473"/>
    </row>
    <row r="474" spans="1:5" ht="15.75" customHeight="1">
      <c r="A474"/>
      <c r="E474"/>
    </row>
    <row r="475" spans="1:5" ht="15.75" customHeight="1">
      <c r="A475"/>
      <c r="E475"/>
    </row>
    <row r="476" spans="1:5" ht="15.75" customHeight="1">
      <c r="A476"/>
      <c r="E476"/>
    </row>
    <row r="477" spans="1:5" ht="15.75" customHeight="1">
      <c r="A477"/>
      <c r="E477"/>
    </row>
    <row r="478" spans="1:5" ht="15.75" customHeight="1">
      <c r="A478"/>
      <c r="E478"/>
    </row>
    <row r="479" spans="1:5" ht="15.75" customHeight="1">
      <c r="A479"/>
      <c r="E479"/>
    </row>
    <row r="480" spans="1:5" ht="15.75" customHeight="1">
      <c r="A480"/>
      <c r="E480"/>
    </row>
    <row r="481" spans="1:5" ht="15.75" customHeight="1">
      <c r="A481"/>
      <c r="E481"/>
    </row>
    <row r="482" spans="1:5" ht="15.75" customHeight="1">
      <c r="A482"/>
      <c r="E482"/>
    </row>
    <row r="483" spans="1:5" ht="15.75" customHeight="1">
      <c r="A483"/>
      <c r="E483"/>
    </row>
    <row r="484" spans="1:5" ht="15.75" customHeight="1">
      <c r="A484"/>
      <c r="E484"/>
    </row>
    <row r="485" spans="1:5" ht="15.75" customHeight="1">
      <c r="A485"/>
      <c r="E485"/>
    </row>
    <row r="486" spans="1:5" ht="15.75" customHeight="1">
      <c r="A486"/>
      <c r="E486"/>
    </row>
    <row r="487" spans="1:5" ht="15.75" customHeight="1">
      <c r="A487"/>
      <c r="E487"/>
    </row>
    <row r="488" spans="1:5" ht="15.75" customHeight="1">
      <c r="A488"/>
      <c r="E488"/>
    </row>
    <row r="489" spans="1:5" ht="15.75" customHeight="1">
      <c r="A489"/>
      <c r="E489"/>
    </row>
    <row r="490" spans="1:5" ht="15.75" customHeight="1">
      <c r="A490"/>
      <c r="E490"/>
    </row>
    <row r="491" spans="1:5" ht="15.75" customHeight="1">
      <c r="A491"/>
      <c r="E491"/>
    </row>
    <row r="492" spans="1:5" ht="15.75" customHeight="1">
      <c r="A492"/>
      <c r="E492"/>
    </row>
    <row r="493" spans="1:5" ht="15.75" customHeight="1">
      <c r="A493"/>
      <c r="E493"/>
    </row>
    <row r="494" spans="1:5" ht="15.75" customHeight="1">
      <c r="A494"/>
      <c r="E494"/>
    </row>
    <row r="495" spans="1:5" ht="15.75" customHeight="1">
      <c r="A495"/>
      <c r="E495"/>
    </row>
    <row r="496" spans="1:5" ht="15.75" customHeight="1">
      <c r="A496"/>
      <c r="E496"/>
    </row>
    <row r="497" spans="1:5" ht="15.75" customHeight="1">
      <c r="A497"/>
      <c r="E497"/>
    </row>
    <row r="498" spans="1:5" ht="15.75" customHeight="1">
      <c r="A498"/>
      <c r="E498"/>
    </row>
    <row r="499" spans="1:5" ht="15.75" customHeight="1">
      <c r="A499"/>
      <c r="E499"/>
    </row>
    <row r="500" spans="1:5" ht="15.75" customHeight="1">
      <c r="A500"/>
      <c r="E500"/>
    </row>
    <row r="501" spans="1:5" ht="15.75" customHeight="1">
      <c r="A501"/>
      <c r="E501"/>
    </row>
    <row r="502" spans="1:5" ht="15.75" customHeight="1">
      <c r="A502"/>
      <c r="E502"/>
    </row>
    <row r="503" spans="1:5" ht="15.75" customHeight="1">
      <c r="A503"/>
      <c r="E503"/>
    </row>
    <row r="504" spans="1:5" ht="15.75" customHeight="1">
      <c r="A504"/>
      <c r="E504"/>
    </row>
    <row r="505" spans="1:5" ht="15.75" customHeight="1">
      <c r="A505"/>
      <c r="E505"/>
    </row>
    <row r="506" spans="1:5" ht="15.75" customHeight="1">
      <c r="A506"/>
      <c r="E506"/>
    </row>
    <row r="507" spans="1:5" ht="15.75" customHeight="1">
      <c r="A507"/>
      <c r="E507"/>
    </row>
    <row r="508" spans="1:5" ht="15.75" customHeight="1">
      <c r="A508"/>
      <c r="E508"/>
    </row>
    <row r="509" spans="1:5" ht="15.75" customHeight="1">
      <c r="A509"/>
      <c r="E509"/>
    </row>
    <row r="510" spans="1:5" ht="15.75" customHeight="1">
      <c r="A510"/>
      <c r="E510"/>
    </row>
    <row r="511" spans="1:5" ht="15.75" customHeight="1">
      <c r="A511"/>
      <c r="E511"/>
    </row>
    <row r="512" spans="1:5" ht="15.75" customHeight="1">
      <c r="A512"/>
      <c r="E512"/>
    </row>
    <row r="513" spans="1:5" ht="15.75" customHeight="1">
      <c r="A513"/>
      <c r="E513"/>
    </row>
    <row r="514" spans="1:5" ht="15.75" customHeight="1">
      <c r="A514"/>
      <c r="E514"/>
    </row>
    <row r="515" spans="1:5" ht="15.75" customHeight="1">
      <c r="A515"/>
      <c r="E515"/>
    </row>
    <row r="516" spans="1:5" ht="15.75" customHeight="1">
      <c r="A516"/>
      <c r="E516"/>
    </row>
    <row r="517" spans="1:5" ht="15.75" customHeight="1">
      <c r="A517"/>
      <c r="E517"/>
    </row>
    <row r="518" spans="1:5" ht="15.75" customHeight="1">
      <c r="A518"/>
      <c r="E518"/>
    </row>
    <row r="519" spans="1:5" ht="15.75" customHeight="1">
      <c r="A519"/>
      <c r="E519"/>
    </row>
    <row r="520" spans="1:5" ht="15.75" customHeight="1">
      <c r="A520"/>
      <c r="E520"/>
    </row>
    <row r="521" spans="1:5" ht="15.75" customHeight="1">
      <c r="A521"/>
      <c r="E521"/>
    </row>
    <row r="522" spans="1:5" ht="15.75" customHeight="1">
      <c r="A522"/>
      <c r="E522"/>
    </row>
    <row r="523" spans="1:5" ht="15.75" customHeight="1">
      <c r="A523"/>
      <c r="E523"/>
    </row>
    <row r="524" spans="1:5" ht="15.75" customHeight="1">
      <c r="A524"/>
      <c r="E524"/>
    </row>
    <row r="525" spans="1:5" ht="15.75" customHeight="1">
      <c r="A525"/>
      <c r="E525"/>
    </row>
    <row r="526" spans="1:5" ht="15.75" customHeight="1">
      <c r="A526"/>
      <c r="E526"/>
    </row>
    <row r="527" spans="1:5" ht="15.75" customHeight="1">
      <c r="A527"/>
      <c r="E527"/>
    </row>
    <row r="528" spans="1:5" ht="15.75" customHeight="1">
      <c r="A528"/>
      <c r="E528"/>
    </row>
    <row r="529" spans="1:5" ht="15.75" customHeight="1">
      <c r="A529"/>
      <c r="E529"/>
    </row>
    <row r="530" spans="1:5" ht="15.75" customHeight="1">
      <c r="A530"/>
      <c r="E530"/>
    </row>
    <row r="531" spans="1:5" ht="15.75" customHeight="1">
      <c r="A531"/>
      <c r="E531"/>
    </row>
    <row r="532" spans="1:5" ht="15.75" customHeight="1">
      <c r="A532"/>
      <c r="E532"/>
    </row>
    <row r="533" spans="1:5" ht="15.75" customHeight="1">
      <c r="A533"/>
      <c r="E533"/>
    </row>
    <row r="534" spans="1:5" ht="15.75" customHeight="1">
      <c r="A534"/>
      <c r="E534"/>
    </row>
    <row r="535" spans="1:5" ht="15.75" customHeight="1">
      <c r="A535"/>
      <c r="E535"/>
    </row>
    <row r="536" spans="1:5" ht="15.75" customHeight="1">
      <c r="A536"/>
      <c r="E536"/>
    </row>
    <row r="537" spans="1:5" ht="15.75" customHeight="1">
      <c r="A537"/>
      <c r="E537"/>
    </row>
    <row r="538" spans="1:5" ht="15.75" customHeight="1">
      <c r="A538"/>
      <c r="E538"/>
    </row>
    <row r="539" spans="1:5" ht="15.75" customHeight="1">
      <c r="A539"/>
      <c r="E539"/>
    </row>
    <row r="540" spans="1:5" ht="15.75" customHeight="1">
      <c r="A540"/>
      <c r="E540"/>
    </row>
    <row r="541" spans="1:5" ht="15.75" customHeight="1">
      <c r="A541"/>
      <c r="E541"/>
    </row>
    <row r="542" spans="1:5" ht="15.75" customHeight="1">
      <c r="A542"/>
      <c r="E542"/>
    </row>
    <row r="543" spans="1:5" ht="15.75" customHeight="1">
      <c r="A543"/>
      <c r="E543"/>
    </row>
    <row r="544" spans="1:5" ht="15.75" customHeight="1">
      <c r="A544"/>
      <c r="E544"/>
    </row>
    <row r="545" spans="1:5" ht="15.75" customHeight="1">
      <c r="A545"/>
      <c r="E545"/>
    </row>
    <row r="546" spans="1:5" ht="15.75" customHeight="1">
      <c r="A546"/>
      <c r="E546"/>
    </row>
    <row r="547" spans="1:5" ht="15.75" customHeight="1">
      <c r="A547"/>
      <c r="E547"/>
    </row>
    <row r="548" spans="1:5" ht="15.75" customHeight="1">
      <c r="A548"/>
      <c r="E548"/>
    </row>
    <row r="549" spans="1:5" ht="15.75" customHeight="1">
      <c r="A549"/>
      <c r="E549"/>
    </row>
    <row r="550" spans="1:5" ht="15.75" customHeight="1">
      <c r="A550"/>
      <c r="E550"/>
    </row>
    <row r="551" spans="1:5" ht="15.75" customHeight="1">
      <c r="A551"/>
      <c r="E551"/>
    </row>
    <row r="552" spans="1:5" ht="15.75" customHeight="1">
      <c r="A552"/>
      <c r="E552"/>
    </row>
    <row r="553" spans="1:5" ht="15.75" customHeight="1">
      <c r="A553"/>
      <c r="E553"/>
    </row>
    <row r="554" spans="1:5" ht="15.75" customHeight="1">
      <c r="A554"/>
      <c r="E554"/>
    </row>
    <row r="555" spans="1:5" ht="15.75" customHeight="1">
      <c r="A555"/>
      <c r="E555"/>
    </row>
    <row r="556" spans="1:5" ht="15.75" customHeight="1">
      <c r="A556"/>
      <c r="E556"/>
    </row>
    <row r="557" spans="1:5" ht="15.75" customHeight="1">
      <c r="A557"/>
      <c r="E557"/>
    </row>
    <row r="558" spans="1:5" ht="15.75" customHeight="1">
      <c r="A558"/>
      <c r="E558"/>
    </row>
    <row r="559" spans="1:5" ht="15.75" customHeight="1">
      <c r="A559"/>
      <c r="E559"/>
    </row>
    <row r="560" spans="1:5" ht="15.75" customHeight="1">
      <c r="A560"/>
      <c r="E560"/>
    </row>
    <row r="561" spans="1:5" ht="15.75" customHeight="1">
      <c r="A561"/>
      <c r="E561"/>
    </row>
    <row r="562" spans="1:5" ht="15.75" customHeight="1">
      <c r="A562"/>
      <c r="E562"/>
    </row>
    <row r="563" spans="1:5" ht="15.75" customHeight="1">
      <c r="A563"/>
      <c r="E563"/>
    </row>
    <row r="564" spans="1:5" ht="15.75" customHeight="1">
      <c r="A564"/>
      <c r="E564"/>
    </row>
    <row r="565" spans="1:5" ht="15.75" customHeight="1">
      <c r="A565"/>
      <c r="E565"/>
    </row>
    <row r="566" spans="1:5" ht="15.75" customHeight="1">
      <c r="A566"/>
      <c r="E566"/>
    </row>
    <row r="567" spans="1:5" ht="15.75" customHeight="1">
      <c r="A567"/>
      <c r="E567"/>
    </row>
    <row r="568" spans="1:5" ht="15.75" customHeight="1">
      <c r="A568"/>
      <c r="E568"/>
    </row>
    <row r="569" spans="1:5" ht="15.75" customHeight="1">
      <c r="A569"/>
      <c r="E569"/>
    </row>
    <row r="570" spans="1:5" ht="15.75" customHeight="1">
      <c r="A570"/>
      <c r="E570"/>
    </row>
    <row r="571" spans="1:5" ht="15.75" customHeight="1">
      <c r="A571"/>
      <c r="E571"/>
    </row>
    <row r="572" spans="1:5" ht="15.75" customHeight="1">
      <c r="A572"/>
      <c r="E572"/>
    </row>
    <row r="573" spans="1:5" ht="15.75" customHeight="1">
      <c r="A573"/>
      <c r="E573"/>
    </row>
    <row r="574" spans="1:5" ht="15.75" customHeight="1">
      <c r="A574"/>
      <c r="E574"/>
    </row>
    <row r="575" spans="1:5" ht="15.75" customHeight="1">
      <c r="A575"/>
      <c r="E575"/>
    </row>
    <row r="576" spans="1:5" ht="15.75" customHeight="1">
      <c r="A576"/>
      <c r="E576"/>
    </row>
    <row r="577" spans="1:5" ht="15.75" customHeight="1">
      <c r="A577"/>
      <c r="E577"/>
    </row>
    <row r="578" spans="1:5" ht="15.75" customHeight="1">
      <c r="A578"/>
      <c r="E578"/>
    </row>
    <row r="579" spans="1:5" ht="15.75" customHeight="1">
      <c r="A579"/>
      <c r="E579"/>
    </row>
    <row r="580" spans="1:5" ht="15.75" customHeight="1">
      <c r="A580"/>
      <c r="E580"/>
    </row>
    <row r="581" spans="1:5" ht="15.75" customHeight="1">
      <c r="A581"/>
      <c r="E581"/>
    </row>
    <row r="582" spans="1:5" ht="15.75" customHeight="1">
      <c r="A582"/>
      <c r="E582"/>
    </row>
    <row r="583" spans="1:5" ht="15.75" customHeight="1">
      <c r="A583"/>
      <c r="E583"/>
    </row>
    <row r="584" spans="1:5" ht="15.75" customHeight="1">
      <c r="A584"/>
      <c r="E584"/>
    </row>
    <row r="585" spans="1:5" ht="15.75" customHeight="1">
      <c r="A585"/>
      <c r="E585"/>
    </row>
    <row r="586" spans="1:5" ht="15.75" customHeight="1">
      <c r="A586"/>
      <c r="E586"/>
    </row>
    <row r="587" spans="1:5" ht="15.75" customHeight="1">
      <c r="A587"/>
      <c r="E587"/>
    </row>
    <row r="588" spans="1:5" ht="15.75" customHeight="1">
      <c r="A588"/>
      <c r="E588"/>
    </row>
    <row r="589" spans="1:5" ht="15.75" customHeight="1">
      <c r="A589"/>
      <c r="E589"/>
    </row>
    <row r="590" spans="1:5" ht="15.75" customHeight="1">
      <c r="A590"/>
      <c r="E590"/>
    </row>
    <row r="591" spans="1:5" ht="15.75" customHeight="1">
      <c r="A591"/>
      <c r="E591"/>
    </row>
    <row r="592" spans="1:5" ht="15.75" customHeight="1">
      <c r="A592"/>
      <c r="E592"/>
    </row>
    <row r="593" spans="1:5" ht="15.75" customHeight="1">
      <c r="A593"/>
      <c r="E593"/>
    </row>
    <row r="594" spans="1:5" ht="15.75" customHeight="1">
      <c r="A594"/>
      <c r="E594"/>
    </row>
    <row r="595" spans="1:5" ht="15.75" customHeight="1">
      <c r="A595"/>
      <c r="E595"/>
    </row>
    <row r="596" spans="1:5" ht="15.75" customHeight="1">
      <c r="A596"/>
      <c r="E596"/>
    </row>
    <row r="597" spans="1:5" ht="15.75" customHeight="1">
      <c r="A597"/>
      <c r="E597"/>
    </row>
    <row r="598" spans="1:5" ht="15.75" customHeight="1">
      <c r="A598"/>
      <c r="E598"/>
    </row>
    <row r="599" spans="1:5" ht="15.75" customHeight="1">
      <c r="A599"/>
      <c r="E599"/>
    </row>
    <row r="600" spans="1:5" ht="15.75" customHeight="1">
      <c r="A600"/>
      <c r="E600"/>
    </row>
    <row r="601" spans="1:5" ht="15.75" customHeight="1">
      <c r="A601"/>
      <c r="E601"/>
    </row>
    <row r="602" spans="1:5" ht="15.75" customHeight="1">
      <c r="A602"/>
      <c r="E602"/>
    </row>
    <row r="603" spans="1:5" ht="15.75" customHeight="1">
      <c r="A603"/>
      <c r="E603"/>
    </row>
    <row r="604" spans="1:5" ht="15.75" customHeight="1">
      <c r="A604"/>
      <c r="E604"/>
    </row>
    <row r="605" spans="1:5" ht="15.75" customHeight="1">
      <c r="A605"/>
      <c r="E605"/>
    </row>
    <row r="606" spans="1:5" ht="15.75" customHeight="1">
      <c r="A606"/>
      <c r="E606"/>
    </row>
    <row r="607" spans="1:5" ht="15.75" customHeight="1">
      <c r="A607"/>
      <c r="E607"/>
    </row>
    <row r="608" spans="1:5" ht="15.75" customHeight="1">
      <c r="A608"/>
      <c r="E608"/>
    </row>
    <row r="609" spans="1:5" ht="15.75" customHeight="1">
      <c r="A609"/>
      <c r="E609"/>
    </row>
    <row r="610" spans="1:5" ht="15.75" customHeight="1">
      <c r="A610"/>
      <c r="E610"/>
    </row>
    <row r="611" spans="1:5" ht="15.75" customHeight="1">
      <c r="A611"/>
      <c r="E611"/>
    </row>
    <row r="612" spans="1:5" ht="15.75" customHeight="1">
      <c r="A612"/>
      <c r="E612"/>
    </row>
    <row r="613" spans="1:5" ht="15.75" customHeight="1">
      <c r="A613"/>
      <c r="E613"/>
    </row>
    <row r="614" spans="1:5" ht="15.75" customHeight="1">
      <c r="A614"/>
      <c r="E614"/>
    </row>
    <row r="615" spans="1:5" ht="15.75" customHeight="1">
      <c r="A615"/>
      <c r="E615"/>
    </row>
    <row r="616" spans="1:5" ht="15.75" customHeight="1">
      <c r="A616"/>
      <c r="E616"/>
    </row>
    <row r="617" spans="1:5" ht="15.75" customHeight="1">
      <c r="A617"/>
      <c r="E617"/>
    </row>
    <row r="618" spans="1:5" ht="15.75" customHeight="1">
      <c r="A618"/>
      <c r="E618"/>
    </row>
    <row r="619" spans="1:5" ht="15.75" customHeight="1">
      <c r="A619"/>
      <c r="E619"/>
    </row>
    <row r="620" spans="1:5" ht="15.75" customHeight="1">
      <c r="A620"/>
      <c r="E620"/>
    </row>
    <row r="621" spans="1:5" ht="15.75" customHeight="1">
      <c r="A621"/>
      <c r="E621"/>
    </row>
    <row r="622" spans="1:5" ht="15.75" customHeight="1">
      <c r="A622"/>
      <c r="E622"/>
    </row>
    <row r="623" spans="1:5" ht="15.75" customHeight="1">
      <c r="A623"/>
      <c r="E623"/>
    </row>
    <row r="624" spans="1:5" ht="15.75" customHeight="1">
      <c r="A624"/>
      <c r="E624"/>
    </row>
    <row r="625" spans="1:5" ht="15.75" customHeight="1">
      <c r="A625"/>
      <c r="E625"/>
    </row>
    <row r="626" spans="1:5" ht="15.75" customHeight="1">
      <c r="A626"/>
      <c r="E626"/>
    </row>
    <row r="627" spans="1:5" ht="15.75" customHeight="1">
      <c r="A627"/>
      <c r="E627"/>
    </row>
    <row r="628" spans="1:5" ht="15.75" customHeight="1">
      <c r="A628"/>
      <c r="E628"/>
    </row>
    <row r="629" spans="1:5" ht="15.75" customHeight="1">
      <c r="A629"/>
      <c r="E629"/>
    </row>
    <row r="630" spans="1:5" ht="15.75" customHeight="1">
      <c r="A630"/>
      <c r="E630"/>
    </row>
    <row r="631" spans="1:5" ht="15.75" customHeight="1">
      <c r="A631"/>
      <c r="E631"/>
    </row>
    <row r="632" spans="1:5" ht="15.75" customHeight="1">
      <c r="A632"/>
      <c r="E632"/>
    </row>
    <row r="633" spans="1:5" ht="15.75" customHeight="1">
      <c r="A633"/>
      <c r="E633"/>
    </row>
    <row r="634" spans="1:5" ht="15.75" customHeight="1">
      <c r="A634"/>
      <c r="E634"/>
    </row>
    <row r="635" spans="1:5" ht="15.75" customHeight="1">
      <c r="A635"/>
      <c r="E635"/>
    </row>
    <row r="636" spans="1:5" ht="15.75" customHeight="1">
      <c r="A636"/>
      <c r="E636"/>
    </row>
    <row r="637" spans="1:5" ht="15.75" customHeight="1">
      <c r="A637"/>
      <c r="E637"/>
    </row>
    <row r="638" spans="1:5" ht="15.75" customHeight="1">
      <c r="A638"/>
      <c r="E638"/>
    </row>
    <row r="639" spans="1:5" ht="15.75" customHeight="1">
      <c r="A639"/>
      <c r="E639"/>
    </row>
    <row r="640" spans="1:5" ht="15.75" customHeight="1">
      <c r="A640"/>
      <c r="E640"/>
    </row>
    <row r="641" spans="1:5" ht="15.75" customHeight="1">
      <c r="A641"/>
      <c r="E641"/>
    </row>
    <row r="642" spans="1:5" ht="15.75" customHeight="1">
      <c r="A642"/>
      <c r="E642"/>
    </row>
    <row r="643" spans="1:5" ht="15.75" customHeight="1">
      <c r="A643"/>
      <c r="E643"/>
    </row>
    <row r="644" spans="1:5" ht="15.75" customHeight="1">
      <c r="A644"/>
      <c r="E644"/>
    </row>
    <row r="645" spans="1:5" ht="15.75" customHeight="1">
      <c r="A645"/>
      <c r="E645"/>
    </row>
    <row r="646" spans="1:5" ht="15.75" customHeight="1">
      <c r="A646"/>
      <c r="E646"/>
    </row>
    <row r="647" spans="1:5" ht="15.75" customHeight="1">
      <c r="A647"/>
      <c r="E647"/>
    </row>
    <row r="648" spans="1:5" ht="15.75" customHeight="1">
      <c r="A648"/>
      <c r="E648"/>
    </row>
    <row r="649" spans="1:5" ht="15.75" customHeight="1">
      <c r="A649"/>
      <c r="E649"/>
    </row>
    <row r="650" spans="1:5" ht="15.75" customHeight="1">
      <c r="A650"/>
      <c r="E650"/>
    </row>
    <row r="651" spans="1:5" ht="15.75" customHeight="1">
      <c r="A651"/>
      <c r="E651"/>
    </row>
    <row r="652" spans="1:5" ht="15.75" customHeight="1">
      <c r="A652"/>
      <c r="E652"/>
    </row>
    <row r="653" spans="1:5" ht="15.75" customHeight="1">
      <c r="A653"/>
      <c r="E653"/>
    </row>
    <row r="654" spans="1:5" ht="15.75" customHeight="1">
      <c r="A654"/>
      <c r="E654"/>
    </row>
    <row r="655" spans="1:5" ht="15.75" customHeight="1">
      <c r="A655"/>
      <c r="E655"/>
    </row>
    <row r="656" spans="1:5" ht="15.75" customHeight="1">
      <c r="A656"/>
      <c r="E656"/>
    </row>
    <row r="657" spans="1:5" ht="15.75" customHeight="1">
      <c r="A657"/>
      <c r="E657"/>
    </row>
    <row r="658" spans="1:5" ht="15.75" customHeight="1">
      <c r="A658"/>
      <c r="E658"/>
    </row>
    <row r="659" spans="1:5" ht="15.75" customHeight="1">
      <c r="A659"/>
      <c r="E659"/>
    </row>
    <row r="660" spans="1:5" ht="15.75" customHeight="1">
      <c r="A660"/>
      <c r="E660"/>
    </row>
    <row r="661" spans="1:5" ht="15.75" customHeight="1">
      <c r="A661"/>
      <c r="E661"/>
    </row>
    <row r="662" spans="1:5" ht="15.75" customHeight="1">
      <c r="A662"/>
      <c r="E662"/>
    </row>
    <row r="663" spans="1:5" ht="15.75" customHeight="1">
      <c r="A663"/>
      <c r="E663"/>
    </row>
    <row r="664" spans="1:5" ht="15.75" customHeight="1">
      <c r="A664"/>
      <c r="E664"/>
    </row>
    <row r="665" spans="1:5" ht="15.75" customHeight="1">
      <c r="A665"/>
      <c r="E665"/>
    </row>
    <row r="666" spans="1:5" ht="15.75" customHeight="1">
      <c r="A666"/>
      <c r="E666"/>
    </row>
    <row r="667" spans="1:5" ht="15.75" customHeight="1">
      <c r="A667"/>
      <c r="E667"/>
    </row>
    <row r="668" spans="1:5" ht="15.75" customHeight="1">
      <c r="A668"/>
      <c r="E668"/>
    </row>
    <row r="669" spans="1:5" ht="15.75" customHeight="1">
      <c r="A669"/>
      <c r="E669"/>
    </row>
    <row r="670" spans="1:5" ht="15.75" customHeight="1">
      <c r="A670"/>
      <c r="E670"/>
    </row>
    <row r="671" spans="1:5" ht="15.75" customHeight="1">
      <c r="A671"/>
      <c r="E671"/>
    </row>
    <row r="672" spans="1:5" ht="15.75" customHeight="1">
      <c r="A672"/>
      <c r="E672"/>
    </row>
    <row r="673" spans="1:5" ht="15.75" customHeight="1">
      <c r="A673"/>
      <c r="E673"/>
    </row>
    <row r="674" spans="1:5" ht="15.75" customHeight="1">
      <c r="A674"/>
      <c r="E674"/>
    </row>
    <row r="675" spans="1:5" ht="15.75" customHeight="1">
      <c r="A675"/>
      <c r="E675"/>
    </row>
    <row r="676" spans="1:5" ht="15.75" customHeight="1">
      <c r="A676"/>
      <c r="E676"/>
    </row>
    <row r="677" spans="1:5" ht="15.75" customHeight="1">
      <c r="A677"/>
      <c r="E677"/>
    </row>
    <row r="678" spans="1:5" ht="15.75" customHeight="1">
      <c r="A678"/>
      <c r="E678"/>
    </row>
    <row r="679" spans="1:5" ht="15.75" customHeight="1">
      <c r="A679"/>
      <c r="E679"/>
    </row>
    <row r="680" spans="1:5" ht="15.75" customHeight="1">
      <c r="A680"/>
      <c r="E680"/>
    </row>
    <row r="681" spans="1:5" ht="15.75" customHeight="1">
      <c r="A681"/>
      <c r="E681"/>
    </row>
    <row r="682" spans="1:5" ht="15.75" customHeight="1">
      <c r="A682"/>
      <c r="E682"/>
    </row>
    <row r="683" spans="1:5" ht="15.75" customHeight="1">
      <c r="A683"/>
      <c r="E683"/>
    </row>
    <row r="684" spans="1:5" ht="15.75" customHeight="1">
      <c r="A684"/>
      <c r="E684"/>
    </row>
    <row r="685" spans="1:5" ht="15.75" customHeight="1">
      <c r="A685"/>
      <c r="E685"/>
    </row>
    <row r="686" spans="1:5" ht="15.75" customHeight="1">
      <c r="A686"/>
      <c r="E686"/>
    </row>
    <row r="687" spans="1:5" ht="15.75" customHeight="1">
      <c r="A687"/>
      <c r="E687"/>
    </row>
    <row r="688" spans="1:5" ht="15.75" customHeight="1">
      <c r="A688"/>
      <c r="E688"/>
    </row>
    <row r="689" spans="1:5" ht="15.75" customHeight="1">
      <c r="A689"/>
      <c r="E689"/>
    </row>
    <row r="690" spans="1:5" ht="15.75" customHeight="1">
      <c r="A690"/>
      <c r="E690"/>
    </row>
    <row r="691" spans="1:5" ht="15.75" customHeight="1">
      <c r="A691"/>
      <c r="E691"/>
    </row>
    <row r="692" spans="1:5" ht="15.75" customHeight="1">
      <c r="A692"/>
      <c r="E692"/>
    </row>
    <row r="693" spans="1:5" ht="15.75" customHeight="1">
      <c r="A693"/>
      <c r="E693"/>
    </row>
    <row r="694" spans="1:5" ht="15.75" customHeight="1">
      <c r="A694"/>
      <c r="E694"/>
    </row>
    <row r="695" spans="1:5" ht="15.75" customHeight="1">
      <c r="A695"/>
      <c r="E695"/>
    </row>
    <row r="696" spans="1:5" ht="15.75" customHeight="1">
      <c r="A696"/>
      <c r="E696"/>
    </row>
    <row r="697" spans="1:5" ht="15.75" customHeight="1">
      <c r="A697"/>
      <c r="E697"/>
    </row>
    <row r="698" spans="1:5" ht="15.75" customHeight="1">
      <c r="A698"/>
      <c r="E698"/>
    </row>
    <row r="699" spans="1:5" ht="15.75" customHeight="1">
      <c r="A699"/>
      <c r="E699"/>
    </row>
    <row r="700" spans="1:5" ht="15.75" customHeight="1">
      <c r="A700"/>
      <c r="E700"/>
    </row>
    <row r="701" spans="1:5" ht="15.75" customHeight="1">
      <c r="A701"/>
      <c r="E701"/>
    </row>
    <row r="702" spans="1:5" ht="15.75" customHeight="1">
      <c r="A702"/>
      <c r="E702"/>
    </row>
    <row r="703" spans="1:5" ht="15.75" customHeight="1">
      <c r="A703"/>
      <c r="E703"/>
    </row>
    <row r="704" spans="1:5" ht="15.75" customHeight="1">
      <c r="A704"/>
      <c r="E704"/>
    </row>
    <row r="705" spans="1:5" ht="15.75" customHeight="1">
      <c r="A705"/>
      <c r="E705"/>
    </row>
    <row r="706" spans="1:5" ht="15.75" customHeight="1">
      <c r="A706"/>
      <c r="E706"/>
    </row>
    <row r="707" spans="1:5" ht="15.75" customHeight="1">
      <c r="A707"/>
      <c r="E707"/>
    </row>
    <row r="708" spans="1:5" ht="15.75" customHeight="1">
      <c r="A708"/>
      <c r="E708"/>
    </row>
    <row r="709" spans="1:5" ht="15.75" customHeight="1">
      <c r="A709"/>
      <c r="E709"/>
    </row>
    <row r="710" spans="1:5" ht="15.75" customHeight="1">
      <c r="A710"/>
      <c r="E710"/>
    </row>
    <row r="711" spans="1:5" ht="15.75" customHeight="1">
      <c r="A711"/>
      <c r="E711"/>
    </row>
    <row r="712" spans="1:5" ht="15.75" customHeight="1">
      <c r="A712"/>
      <c r="E712"/>
    </row>
    <row r="713" spans="1:5" ht="15.75" customHeight="1">
      <c r="A713"/>
      <c r="E713"/>
    </row>
    <row r="714" spans="1:5" ht="15.75" customHeight="1">
      <c r="A714"/>
      <c r="E714"/>
    </row>
    <row r="715" spans="1:5" ht="15.75" customHeight="1">
      <c r="A715"/>
      <c r="E715"/>
    </row>
    <row r="716" spans="1:5" ht="15.75" customHeight="1">
      <c r="A716"/>
      <c r="E716"/>
    </row>
    <row r="717" spans="1:5" ht="15.75" customHeight="1">
      <c r="A717"/>
      <c r="E717"/>
    </row>
    <row r="718" spans="1:5" ht="15.75" customHeight="1">
      <c r="A718"/>
      <c r="E718"/>
    </row>
    <row r="719" spans="1:5" ht="15.75" customHeight="1">
      <c r="A719"/>
      <c r="E719"/>
    </row>
    <row r="720" spans="1:5" ht="15.75" customHeight="1">
      <c r="A720"/>
      <c r="E720"/>
    </row>
    <row r="721" spans="1:5" ht="15.75" customHeight="1">
      <c r="A721"/>
      <c r="E721"/>
    </row>
    <row r="722" spans="1:5" ht="15.75" customHeight="1">
      <c r="A722"/>
      <c r="E722"/>
    </row>
    <row r="723" spans="1:5" ht="15.75" customHeight="1">
      <c r="A723"/>
      <c r="E723"/>
    </row>
    <row r="724" spans="1:5" ht="15.75" customHeight="1">
      <c r="A724"/>
      <c r="E724"/>
    </row>
    <row r="725" spans="1:5" ht="15.75" customHeight="1">
      <c r="A725"/>
      <c r="E725"/>
    </row>
    <row r="726" spans="1:5" ht="15.75" customHeight="1">
      <c r="A726"/>
      <c r="E726"/>
    </row>
    <row r="727" spans="1:5" ht="15.75" customHeight="1">
      <c r="A727"/>
      <c r="E727"/>
    </row>
    <row r="728" spans="1:5" ht="15.75" customHeight="1">
      <c r="A728"/>
      <c r="E728"/>
    </row>
    <row r="729" spans="1:5" ht="15.75" customHeight="1">
      <c r="A729"/>
      <c r="E729"/>
    </row>
    <row r="730" spans="1:5" ht="15.75" customHeight="1">
      <c r="A730"/>
      <c r="E730"/>
    </row>
    <row r="731" spans="1:5" ht="15.75" customHeight="1">
      <c r="A731"/>
      <c r="E731"/>
    </row>
    <row r="732" spans="1:5" ht="15.75" customHeight="1">
      <c r="A732"/>
      <c r="E732"/>
    </row>
    <row r="733" spans="1:5" ht="15.75" customHeight="1">
      <c r="A733"/>
      <c r="E733"/>
    </row>
    <row r="734" spans="1:5" ht="15.75" customHeight="1">
      <c r="A734"/>
      <c r="E734"/>
    </row>
    <row r="735" spans="1:5" ht="15.75" customHeight="1">
      <c r="A735"/>
      <c r="E735"/>
    </row>
    <row r="736" spans="1:5" ht="15.75" customHeight="1">
      <c r="A736"/>
      <c r="E736"/>
    </row>
    <row r="737" spans="1:5" ht="15.75" customHeight="1">
      <c r="A737"/>
      <c r="E737"/>
    </row>
    <row r="738" spans="1:5" ht="15.75" customHeight="1">
      <c r="A738"/>
      <c r="E738"/>
    </row>
    <row r="739" spans="1:5" ht="15.75" customHeight="1">
      <c r="A739"/>
      <c r="E739"/>
    </row>
    <row r="740" spans="1:5" ht="15.75" customHeight="1">
      <c r="A740"/>
      <c r="E740"/>
    </row>
    <row r="741" spans="1:5" ht="15.75" customHeight="1">
      <c r="A741"/>
      <c r="E741"/>
    </row>
    <row r="742" spans="1:5" ht="15.75" customHeight="1">
      <c r="A742"/>
      <c r="E742"/>
    </row>
    <row r="743" spans="1:5" ht="15.75" customHeight="1">
      <c r="A743"/>
      <c r="E743"/>
    </row>
    <row r="744" spans="1:5" ht="15.75" customHeight="1">
      <c r="A744"/>
      <c r="E744"/>
    </row>
    <row r="745" spans="1:5" ht="15.75" customHeight="1">
      <c r="A745"/>
      <c r="E745"/>
    </row>
    <row r="746" spans="1:5" ht="15.75" customHeight="1">
      <c r="A746"/>
      <c r="E746"/>
    </row>
    <row r="747" spans="1:5" ht="15.75" customHeight="1">
      <c r="A747"/>
      <c r="E747"/>
    </row>
    <row r="748" spans="1:5" ht="15.75" customHeight="1">
      <c r="A748"/>
      <c r="E748"/>
    </row>
    <row r="749" spans="1:5" ht="15.75" customHeight="1">
      <c r="A749"/>
      <c r="E749"/>
    </row>
    <row r="750" spans="1:5" ht="15.75" customHeight="1">
      <c r="A750"/>
      <c r="E750"/>
    </row>
    <row r="751" spans="1:5" ht="15.75" customHeight="1">
      <c r="A751"/>
      <c r="E751"/>
    </row>
    <row r="752" spans="1:5" ht="15.75" customHeight="1">
      <c r="A752"/>
      <c r="E752"/>
    </row>
    <row r="753" spans="1:5" ht="15.75" customHeight="1">
      <c r="A753"/>
      <c r="E753"/>
    </row>
    <row r="754" spans="1:5" ht="15.75" customHeight="1">
      <c r="A754"/>
      <c r="E754"/>
    </row>
    <row r="755" spans="1:5" ht="15.75" customHeight="1">
      <c r="A755"/>
      <c r="E755"/>
    </row>
    <row r="756" spans="1:5" ht="15.75" customHeight="1">
      <c r="A756"/>
      <c r="E756"/>
    </row>
    <row r="757" spans="1:5" ht="15.75" customHeight="1">
      <c r="A757"/>
      <c r="E757"/>
    </row>
    <row r="758" spans="1:5" ht="15.75" customHeight="1">
      <c r="A758"/>
      <c r="E758"/>
    </row>
    <row r="759" spans="1:5" ht="15.75" customHeight="1">
      <c r="A759"/>
      <c r="E759"/>
    </row>
    <row r="760" spans="1:5" ht="15.75" customHeight="1">
      <c r="A760"/>
      <c r="E760"/>
    </row>
    <row r="761" spans="1:5" ht="15.75" customHeight="1">
      <c r="A761"/>
      <c r="E761"/>
    </row>
    <row r="762" spans="1:5" ht="15.75" customHeight="1">
      <c r="A762"/>
      <c r="E762"/>
    </row>
    <row r="763" spans="1:5" ht="15.75" customHeight="1">
      <c r="A763"/>
      <c r="E763"/>
    </row>
    <row r="764" spans="1:5" ht="15.75" customHeight="1">
      <c r="A764"/>
      <c r="E764"/>
    </row>
    <row r="765" spans="1:5" ht="15.75" customHeight="1">
      <c r="A765"/>
      <c r="E765"/>
    </row>
    <row r="766" spans="1:5" ht="15.75" customHeight="1">
      <c r="A766"/>
      <c r="E766"/>
    </row>
    <row r="767" spans="1:5" ht="15.75" customHeight="1">
      <c r="A767"/>
      <c r="E767"/>
    </row>
    <row r="768" spans="1:5" ht="15.75" customHeight="1">
      <c r="A768"/>
      <c r="E768"/>
    </row>
    <row r="769" spans="1:5" ht="15.75" customHeight="1">
      <c r="A769"/>
      <c r="E769"/>
    </row>
    <row r="770" spans="1:5" ht="15.75" customHeight="1">
      <c r="A770"/>
      <c r="E770"/>
    </row>
    <row r="771" spans="1:5" ht="15.75" customHeight="1">
      <c r="A771"/>
      <c r="E771"/>
    </row>
    <row r="772" spans="1:5" ht="15.75" customHeight="1">
      <c r="A772"/>
      <c r="E772"/>
    </row>
    <row r="773" spans="1:5" ht="15.75" customHeight="1">
      <c r="A773"/>
      <c r="E773"/>
    </row>
    <row r="774" spans="1:5" ht="15.75" customHeight="1">
      <c r="A774"/>
      <c r="E774"/>
    </row>
    <row r="775" spans="1:5" ht="15.75" customHeight="1">
      <c r="A775"/>
      <c r="E775"/>
    </row>
    <row r="776" spans="1:5" ht="15.75" customHeight="1">
      <c r="A776"/>
      <c r="E776"/>
    </row>
    <row r="777" spans="1:5" ht="15.75" customHeight="1">
      <c r="A777"/>
      <c r="E777"/>
    </row>
    <row r="778" spans="1:5" ht="15.75" customHeight="1">
      <c r="A778"/>
      <c r="E778"/>
    </row>
    <row r="779" spans="1:5" ht="15.75" customHeight="1">
      <c r="A779"/>
      <c r="E779"/>
    </row>
    <row r="780" spans="1:5" ht="15.75" customHeight="1">
      <c r="A780"/>
      <c r="E780"/>
    </row>
    <row r="781" spans="1:5" ht="15.75" customHeight="1">
      <c r="A781"/>
      <c r="E781"/>
    </row>
    <row r="782" spans="1:5" ht="15.75" customHeight="1">
      <c r="A782"/>
      <c r="E782"/>
    </row>
    <row r="783" spans="1:5" ht="15.75" customHeight="1">
      <c r="A783"/>
      <c r="E783"/>
    </row>
    <row r="784" spans="1:5" ht="15.75" customHeight="1">
      <c r="A784"/>
      <c r="E784"/>
    </row>
    <row r="785" spans="1:5" ht="15.75" customHeight="1">
      <c r="A785"/>
      <c r="E785"/>
    </row>
    <row r="786" spans="1:5" ht="15.75" customHeight="1">
      <c r="A786"/>
      <c r="E786"/>
    </row>
    <row r="787" spans="1:5" ht="15.75" customHeight="1">
      <c r="A787"/>
      <c r="E787"/>
    </row>
    <row r="788" spans="1:5" ht="15.75" customHeight="1">
      <c r="A788"/>
      <c r="E788"/>
    </row>
    <row r="789" spans="1:5" ht="15.75" customHeight="1">
      <c r="A789"/>
      <c r="E789"/>
    </row>
    <row r="790" spans="1:5" ht="15.75" customHeight="1">
      <c r="A790"/>
      <c r="E790"/>
    </row>
    <row r="791" spans="1:5" ht="15.75" customHeight="1">
      <c r="A791"/>
      <c r="E791"/>
    </row>
    <row r="792" spans="1:5" ht="15.75" customHeight="1">
      <c r="A792"/>
      <c r="E792"/>
    </row>
    <row r="793" spans="1:5" ht="15.75" customHeight="1">
      <c r="A793"/>
      <c r="E793"/>
    </row>
    <row r="794" spans="1:5" ht="15.75" customHeight="1">
      <c r="A794"/>
      <c r="E794"/>
    </row>
    <row r="795" spans="1:5" ht="15.75" customHeight="1">
      <c r="A795"/>
      <c r="E795"/>
    </row>
    <row r="796" spans="1:5" ht="15.75" customHeight="1">
      <c r="A796"/>
      <c r="E796"/>
    </row>
    <row r="797" spans="1:5" ht="15.75" customHeight="1">
      <c r="A797"/>
      <c r="E797"/>
    </row>
    <row r="798" spans="1:5" ht="15.75" customHeight="1">
      <c r="A798"/>
      <c r="E798"/>
    </row>
    <row r="799" spans="1:5" ht="15.75" customHeight="1">
      <c r="A799"/>
      <c r="E799"/>
    </row>
    <row r="800" spans="1:5" ht="15.75" customHeight="1">
      <c r="A800"/>
      <c r="E800"/>
    </row>
    <row r="801" spans="1:5" ht="15.75" customHeight="1">
      <c r="A801"/>
      <c r="E801"/>
    </row>
    <row r="802" spans="1:5" ht="15.75" customHeight="1">
      <c r="A802"/>
      <c r="E802"/>
    </row>
    <row r="803" spans="1:5" ht="15.75" customHeight="1">
      <c r="A803"/>
      <c r="E803"/>
    </row>
    <row r="804" spans="1:5" ht="15.75" customHeight="1">
      <c r="A804"/>
      <c r="E804"/>
    </row>
    <row r="805" spans="1:5" ht="15.75" customHeight="1">
      <c r="A805"/>
      <c r="E805"/>
    </row>
    <row r="806" spans="1:5" ht="15.75" customHeight="1">
      <c r="A806"/>
      <c r="E806"/>
    </row>
    <row r="807" spans="1:5" ht="15.75" customHeight="1">
      <c r="A807"/>
      <c r="E807"/>
    </row>
    <row r="808" spans="1:5" ht="15.75" customHeight="1">
      <c r="A808"/>
      <c r="E808"/>
    </row>
    <row r="809" spans="1:5" ht="15.75" customHeight="1">
      <c r="A809"/>
      <c r="E809"/>
    </row>
    <row r="810" spans="1:5" ht="15.75" customHeight="1">
      <c r="A810"/>
      <c r="E810"/>
    </row>
    <row r="811" spans="1:5" ht="15.75" customHeight="1">
      <c r="A811"/>
      <c r="E811"/>
    </row>
    <row r="812" spans="1:5" ht="15.75" customHeight="1">
      <c r="A812"/>
      <c r="E812"/>
    </row>
    <row r="813" spans="1:5" ht="15.75" customHeight="1">
      <c r="A813"/>
      <c r="E813"/>
    </row>
    <row r="814" spans="1:5" ht="15.75" customHeight="1">
      <c r="A814"/>
      <c r="E814"/>
    </row>
    <row r="815" spans="1:5" ht="15.75" customHeight="1">
      <c r="A815"/>
      <c r="E815"/>
    </row>
    <row r="816" spans="1:5" ht="15.75" customHeight="1">
      <c r="A816"/>
      <c r="E816"/>
    </row>
    <row r="817" spans="1:5" ht="15.75" customHeight="1">
      <c r="A817"/>
      <c r="E817"/>
    </row>
    <row r="818" spans="1:5" ht="15.75" customHeight="1">
      <c r="A818"/>
      <c r="E818"/>
    </row>
    <row r="819" spans="1:5" ht="15.75" customHeight="1">
      <c r="A819"/>
      <c r="E819"/>
    </row>
    <row r="820" spans="1:5" ht="15.75" customHeight="1">
      <c r="A820"/>
      <c r="E820"/>
    </row>
    <row r="821" spans="1:5" ht="15.75" customHeight="1">
      <c r="A821"/>
      <c r="E821"/>
    </row>
    <row r="822" spans="1:5" ht="15.75" customHeight="1">
      <c r="A822"/>
      <c r="E822"/>
    </row>
    <row r="823" spans="1:5" ht="15.75" customHeight="1">
      <c r="A823"/>
      <c r="E823"/>
    </row>
    <row r="824" spans="1:5" ht="15.75" customHeight="1">
      <c r="A824"/>
      <c r="E824"/>
    </row>
    <row r="825" spans="1:5" ht="15.75" customHeight="1">
      <c r="A825"/>
      <c r="E825"/>
    </row>
    <row r="826" spans="1:5" ht="15.75" customHeight="1">
      <c r="A826"/>
      <c r="E826"/>
    </row>
    <row r="827" spans="1:5" ht="15.75" customHeight="1">
      <c r="A827"/>
      <c r="E827"/>
    </row>
    <row r="828" spans="1:5" ht="15.75" customHeight="1">
      <c r="A828"/>
      <c r="E828"/>
    </row>
    <row r="829" spans="1:5" ht="15.75" customHeight="1">
      <c r="A829"/>
      <c r="E829"/>
    </row>
    <row r="830" spans="1:5" ht="15.75" customHeight="1">
      <c r="A830"/>
      <c r="E830"/>
    </row>
    <row r="831" spans="1:5" ht="15.75" customHeight="1">
      <c r="A831"/>
      <c r="E831"/>
    </row>
    <row r="832" spans="1:5" ht="15.75" customHeight="1">
      <c r="A832"/>
      <c r="E832"/>
    </row>
    <row r="833" spans="1:5" ht="15.75" customHeight="1">
      <c r="A833"/>
      <c r="E833"/>
    </row>
    <row r="834" spans="1:5" ht="15.75" customHeight="1">
      <c r="A834"/>
      <c r="E834"/>
    </row>
    <row r="835" spans="1:5" ht="15.75" customHeight="1">
      <c r="A835"/>
      <c r="E835"/>
    </row>
    <row r="836" spans="1:5" ht="15.75" customHeight="1">
      <c r="A836"/>
      <c r="E836"/>
    </row>
    <row r="837" spans="1:5" ht="15.75" customHeight="1">
      <c r="A837"/>
      <c r="E837"/>
    </row>
    <row r="838" spans="1:5" ht="15.75" customHeight="1">
      <c r="A838"/>
      <c r="E838"/>
    </row>
    <row r="839" spans="1:5" ht="15.75" customHeight="1">
      <c r="A839"/>
      <c r="E839"/>
    </row>
    <row r="840" spans="1:5" ht="15.75" customHeight="1">
      <c r="A840"/>
      <c r="E840"/>
    </row>
    <row r="841" spans="1:5" ht="15.75" customHeight="1">
      <c r="A841"/>
      <c r="E841"/>
    </row>
    <row r="842" spans="1:5" ht="15.75" customHeight="1">
      <c r="A842"/>
      <c r="E842"/>
    </row>
    <row r="843" spans="1:5" ht="15.75" customHeight="1">
      <c r="A843"/>
      <c r="E843"/>
    </row>
    <row r="844" spans="1:5" ht="15.75" customHeight="1">
      <c r="A844"/>
      <c r="E844"/>
    </row>
    <row r="845" spans="1:5" ht="15.75" customHeight="1">
      <c r="A845"/>
      <c r="E845"/>
    </row>
    <row r="846" spans="1:5" ht="15.75" customHeight="1">
      <c r="A846"/>
      <c r="E846"/>
    </row>
    <row r="847" spans="1:5" ht="15.75" customHeight="1">
      <c r="A847"/>
      <c r="E847"/>
    </row>
    <row r="848" spans="1:5" ht="15.75" customHeight="1">
      <c r="A848"/>
      <c r="E848"/>
    </row>
    <row r="849" spans="1:5" ht="15.75" customHeight="1">
      <c r="A849"/>
      <c r="E849"/>
    </row>
    <row r="850" spans="1:5" ht="15.75" customHeight="1">
      <c r="A850"/>
      <c r="E850"/>
    </row>
    <row r="851" spans="1:5" ht="15.75" customHeight="1">
      <c r="A851"/>
      <c r="E851"/>
    </row>
    <row r="852" spans="1:5" ht="15.75" customHeight="1">
      <c r="A852"/>
      <c r="E852"/>
    </row>
    <row r="853" spans="1:5" ht="15.75" customHeight="1">
      <c r="A853"/>
      <c r="E853"/>
    </row>
    <row r="854" spans="1:5" ht="15.75" customHeight="1">
      <c r="A854"/>
      <c r="E854"/>
    </row>
    <row r="855" spans="1:5" ht="15.75" customHeight="1">
      <c r="A855"/>
      <c r="E855"/>
    </row>
    <row r="856" spans="1:5" ht="15.75" customHeight="1">
      <c r="A856"/>
      <c r="E856"/>
    </row>
    <row r="857" spans="1:5" ht="15.75" customHeight="1">
      <c r="A857"/>
      <c r="E857"/>
    </row>
    <row r="858" spans="1:5" ht="15.75" customHeight="1">
      <c r="A858"/>
      <c r="E858"/>
    </row>
    <row r="859" spans="1:5" ht="15.75" customHeight="1">
      <c r="A859"/>
      <c r="E859"/>
    </row>
    <row r="860" spans="1:5" ht="15.75" customHeight="1">
      <c r="A860"/>
      <c r="E860"/>
    </row>
    <row r="861" spans="1:5" ht="15.75" customHeight="1">
      <c r="A861"/>
      <c r="E861"/>
    </row>
    <row r="862" spans="1:5" ht="15.75" customHeight="1">
      <c r="A862"/>
      <c r="E862"/>
    </row>
    <row r="863" spans="1:5" ht="15.75" customHeight="1">
      <c r="A863"/>
      <c r="E863"/>
    </row>
    <row r="864" spans="1:5" ht="15.75" customHeight="1">
      <c r="A864"/>
      <c r="E864"/>
    </row>
    <row r="865" spans="1:5" ht="15.75" customHeight="1">
      <c r="A865"/>
      <c r="E865"/>
    </row>
    <row r="866" spans="1:5" ht="15.75" customHeight="1">
      <c r="A866"/>
      <c r="E866"/>
    </row>
    <row r="867" spans="1:5" ht="15.75" customHeight="1">
      <c r="A867"/>
      <c r="E867"/>
    </row>
    <row r="868" spans="1:5" ht="15.75" customHeight="1">
      <c r="A868"/>
      <c r="E868"/>
    </row>
    <row r="869" spans="1:5" ht="15.75" customHeight="1">
      <c r="A869"/>
      <c r="E869"/>
    </row>
    <row r="870" spans="1:5" ht="15.75" customHeight="1">
      <c r="A870"/>
      <c r="E870"/>
    </row>
    <row r="871" spans="1:5" ht="15.75" customHeight="1">
      <c r="A871"/>
      <c r="E871"/>
    </row>
    <row r="872" spans="1:5" ht="15.75" customHeight="1">
      <c r="A872"/>
      <c r="E872"/>
    </row>
    <row r="873" spans="1:5" ht="15.75" customHeight="1">
      <c r="A873"/>
      <c r="E873"/>
    </row>
    <row r="874" spans="1:5" ht="15.75" customHeight="1">
      <c r="A874"/>
      <c r="E874"/>
    </row>
    <row r="875" spans="1:5" ht="15.75" customHeight="1">
      <c r="A875"/>
      <c r="E875"/>
    </row>
    <row r="876" spans="1:5" ht="15.75" customHeight="1">
      <c r="A876"/>
      <c r="E876"/>
    </row>
    <row r="877" spans="1:5" ht="15.75" customHeight="1">
      <c r="A877"/>
      <c r="E877"/>
    </row>
    <row r="878" spans="1:5" ht="15.75" customHeight="1">
      <c r="A878"/>
      <c r="E878"/>
    </row>
    <row r="879" spans="1:5" ht="15.75" customHeight="1">
      <c r="A879"/>
      <c r="E879"/>
    </row>
    <row r="880" spans="1:5" ht="15.75" customHeight="1">
      <c r="A880"/>
      <c r="E880"/>
    </row>
    <row r="881" spans="1:5" ht="15.75" customHeight="1">
      <c r="A881"/>
      <c r="E881"/>
    </row>
    <row r="882" spans="1:5" ht="15.75" customHeight="1">
      <c r="A882"/>
      <c r="E882"/>
    </row>
    <row r="883" spans="1:5" ht="15.75" customHeight="1">
      <c r="A883"/>
      <c r="E883"/>
    </row>
    <row r="884" spans="1:5" ht="15.75" customHeight="1">
      <c r="A884"/>
      <c r="E884"/>
    </row>
    <row r="885" spans="1:5" ht="15.75" customHeight="1">
      <c r="A885"/>
      <c r="E885"/>
    </row>
    <row r="886" spans="1:5" ht="15.75" customHeight="1">
      <c r="A886"/>
      <c r="E886"/>
    </row>
    <row r="887" spans="1:5" ht="15.75" customHeight="1">
      <c r="A887"/>
      <c r="E887"/>
    </row>
    <row r="888" spans="1:5" ht="15.75" customHeight="1">
      <c r="A888"/>
      <c r="E888"/>
    </row>
    <row r="889" spans="1:5" ht="15.75" customHeight="1">
      <c r="A889"/>
      <c r="E889"/>
    </row>
    <row r="890" spans="1:5" ht="15.75" customHeight="1">
      <c r="A890"/>
      <c r="E890"/>
    </row>
    <row r="891" spans="1:5" ht="15.75" customHeight="1">
      <c r="A891"/>
      <c r="E891"/>
    </row>
    <row r="892" spans="1:5" ht="15.75" customHeight="1">
      <c r="A892"/>
      <c r="E892"/>
    </row>
    <row r="893" spans="1:5" ht="15.75" customHeight="1">
      <c r="A893"/>
      <c r="E893"/>
    </row>
    <row r="894" spans="1:5" ht="15.75" customHeight="1">
      <c r="A894"/>
      <c r="E894"/>
    </row>
    <row r="895" spans="1:5" ht="15.75" customHeight="1">
      <c r="A895"/>
      <c r="E895"/>
    </row>
    <row r="896" spans="1:5" ht="15.75" customHeight="1">
      <c r="A896"/>
      <c r="E896"/>
    </row>
    <row r="897" spans="1:5" ht="15.75" customHeight="1">
      <c r="A897"/>
      <c r="E897"/>
    </row>
    <row r="898" spans="1:5" ht="15.75" customHeight="1">
      <c r="A898"/>
      <c r="E898"/>
    </row>
    <row r="899" spans="1:5" ht="15.75" customHeight="1">
      <c r="A899"/>
      <c r="E899"/>
    </row>
    <row r="900" spans="1:5" ht="15.75" customHeight="1">
      <c r="A900"/>
      <c r="E900"/>
    </row>
    <row r="901" spans="1:5" ht="15.75" customHeight="1">
      <c r="A901"/>
      <c r="E901"/>
    </row>
    <row r="902" spans="1:5" ht="15.75" customHeight="1">
      <c r="A902"/>
      <c r="E902"/>
    </row>
    <row r="903" spans="1:5" ht="15.75" customHeight="1">
      <c r="A903"/>
      <c r="E903"/>
    </row>
    <row r="904" spans="1:5" ht="15.75" customHeight="1">
      <c r="A904"/>
      <c r="E904"/>
    </row>
    <row r="905" spans="1:5" ht="15.75" customHeight="1">
      <c r="A905"/>
      <c r="E905"/>
    </row>
    <row r="906" spans="1:5" ht="15.75" customHeight="1">
      <c r="A906"/>
      <c r="E906"/>
    </row>
    <row r="907" spans="1:5" ht="15.75" customHeight="1">
      <c r="A907"/>
      <c r="E907"/>
    </row>
    <row r="908" spans="1:5" ht="15.75" customHeight="1">
      <c r="A908"/>
      <c r="E908"/>
    </row>
    <row r="909" spans="1:5" ht="15.75" customHeight="1">
      <c r="A909"/>
      <c r="E909"/>
    </row>
    <row r="910" spans="1:5" ht="15.75" customHeight="1">
      <c r="A910"/>
      <c r="E910"/>
    </row>
    <row r="911" spans="1:5" ht="15.75" customHeight="1">
      <c r="A911"/>
      <c r="E911"/>
    </row>
    <row r="912" spans="1:5" ht="15.75" customHeight="1">
      <c r="A912"/>
      <c r="E912"/>
    </row>
    <row r="913" spans="1:5" ht="15.75" customHeight="1">
      <c r="A913"/>
      <c r="E913"/>
    </row>
    <row r="914" spans="1:5" ht="15.75" customHeight="1">
      <c r="A914"/>
      <c r="E914"/>
    </row>
    <row r="915" spans="1:5" ht="15.75" customHeight="1">
      <c r="A915"/>
      <c r="E915"/>
    </row>
    <row r="916" spans="1:5" ht="15.75" customHeight="1">
      <c r="A916"/>
      <c r="E916"/>
    </row>
    <row r="917" spans="1:5" ht="15.75" customHeight="1">
      <c r="A917"/>
      <c r="E917"/>
    </row>
    <row r="918" spans="1:5" ht="15.75" customHeight="1">
      <c r="A918"/>
      <c r="E918"/>
    </row>
    <row r="919" spans="1:5" ht="15.75" customHeight="1">
      <c r="A919"/>
      <c r="E919"/>
    </row>
    <row r="920" spans="1:5" ht="15.75" customHeight="1">
      <c r="A920"/>
      <c r="E920"/>
    </row>
    <row r="921" spans="1:5" ht="15.75" customHeight="1">
      <c r="A921"/>
      <c r="E921"/>
    </row>
    <row r="922" spans="1:5" ht="15.75" customHeight="1">
      <c r="A922"/>
      <c r="E922"/>
    </row>
    <row r="923" spans="1:5" ht="15.75" customHeight="1">
      <c r="A923"/>
      <c r="E923"/>
    </row>
    <row r="924" spans="1:5" ht="15.75" customHeight="1">
      <c r="A924"/>
      <c r="E924"/>
    </row>
    <row r="925" spans="1:5" ht="15.75" customHeight="1">
      <c r="A925"/>
      <c r="E925"/>
    </row>
    <row r="926" spans="1:5" ht="15.75" customHeight="1">
      <c r="A926"/>
      <c r="E926"/>
    </row>
    <row r="927" spans="1:5" ht="15.75" customHeight="1">
      <c r="A927"/>
      <c r="E927"/>
    </row>
    <row r="928" spans="1:5" ht="15.75" customHeight="1">
      <c r="A928"/>
      <c r="E928"/>
    </row>
    <row r="929" spans="1:5" ht="15.75" customHeight="1">
      <c r="A929"/>
      <c r="E929"/>
    </row>
    <row r="930" spans="1:5" ht="15.75" customHeight="1">
      <c r="A930"/>
      <c r="E930"/>
    </row>
    <row r="931" spans="1:5" ht="15.75" customHeight="1">
      <c r="A931"/>
      <c r="E931"/>
    </row>
    <row r="932" spans="1:5" ht="15.75" customHeight="1">
      <c r="A932"/>
      <c r="E932"/>
    </row>
    <row r="933" spans="1:5" ht="15.75" customHeight="1">
      <c r="A933"/>
      <c r="E933"/>
    </row>
    <row r="934" spans="1:5" ht="15.75" customHeight="1">
      <c r="A934"/>
      <c r="E934"/>
    </row>
    <row r="935" spans="1:5" ht="15.75" customHeight="1">
      <c r="A935"/>
      <c r="E935"/>
    </row>
    <row r="936" spans="1:5" ht="15.75" customHeight="1">
      <c r="A936"/>
      <c r="E936"/>
    </row>
    <row r="937" spans="1:5" ht="15.75" customHeight="1">
      <c r="A937"/>
      <c r="E937"/>
    </row>
    <row r="938" spans="1:5" ht="15.75" customHeight="1">
      <c r="A938"/>
      <c r="E938"/>
    </row>
    <row r="939" spans="1:5" ht="15.75" customHeight="1">
      <c r="A939"/>
      <c r="E939"/>
    </row>
    <row r="940" spans="1:5" ht="15.75" customHeight="1">
      <c r="A940"/>
      <c r="E940"/>
    </row>
    <row r="941" spans="1:5" ht="15.75" customHeight="1">
      <c r="A941"/>
      <c r="E941"/>
    </row>
    <row r="942" spans="1:5" ht="15.75" customHeight="1">
      <c r="A942"/>
      <c r="E942"/>
    </row>
    <row r="943" spans="1:5" ht="15.75" customHeight="1">
      <c r="A943"/>
      <c r="E943"/>
    </row>
    <row r="944" spans="1:5" ht="15.75" customHeight="1">
      <c r="A944"/>
      <c r="E944"/>
    </row>
    <row r="945" spans="1:5" ht="15.75" customHeight="1">
      <c r="A945"/>
      <c r="E945"/>
    </row>
    <row r="946" spans="1:5" ht="15.75" customHeight="1">
      <c r="A946"/>
      <c r="E946"/>
    </row>
    <row r="947" spans="1:5" ht="15.75" customHeight="1">
      <c r="A947"/>
      <c r="E947"/>
    </row>
    <row r="948" spans="1:5" ht="15.75" customHeight="1">
      <c r="A948"/>
      <c r="E948"/>
    </row>
    <row r="949" spans="1:5" ht="15.75" customHeight="1">
      <c r="A949"/>
      <c r="E949"/>
    </row>
    <row r="950" spans="1:5" ht="15.75" customHeight="1">
      <c r="A950"/>
      <c r="E950"/>
    </row>
    <row r="951" spans="1:5" ht="15.75" customHeight="1">
      <c r="A951"/>
      <c r="E951"/>
    </row>
    <row r="952" spans="1:5" ht="15.75" customHeight="1">
      <c r="A952"/>
      <c r="E952"/>
    </row>
    <row r="953" spans="1:5" ht="15.75" customHeight="1">
      <c r="A953"/>
      <c r="E953"/>
    </row>
    <row r="954" spans="1:5" ht="15.75" customHeight="1">
      <c r="A954"/>
      <c r="E954"/>
    </row>
    <row r="955" spans="1:5" ht="15.75" customHeight="1">
      <c r="A955"/>
      <c r="E955"/>
    </row>
    <row r="956" spans="1:5" ht="15.75" customHeight="1">
      <c r="A956"/>
      <c r="E956"/>
    </row>
    <row r="957" spans="1:5" ht="15.75" customHeight="1">
      <c r="A957"/>
      <c r="E957"/>
    </row>
    <row r="958" spans="1:5" ht="15.75" customHeight="1">
      <c r="A958"/>
      <c r="E958"/>
    </row>
    <row r="959" spans="1:5" ht="15.75" customHeight="1">
      <c r="A959"/>
      <c r="E959"/>
    </row>
    <row r="960" spans="1:5" ht="15.75" customHeight="1">
      <c r="A960"/>
      <c r="E960"/>
    </row>
    <row r="961" spans="1:5" ht="15.75" customHeight="1">
      <c r="A961"/>
      <c r="E961"/>
    </row>
    <row r="962" spans="1:5" ht="15.75" customHeight="1">
      <c r="A962"/>
      <c r="E962"/>
    </row>
    <row r="963" spans="1:5" ht="15.75" customHeight="1">
      <c r="A963"/>
      <c r="E963"/>
    </row>
    <row r="964" spans="1:5" ht="15.75" customHeight="1">
      <c r="A964"/>
      <c r="E964"/>
    </row>
    <row r="965" spans="1:5" ht="15.75" customHeight="1">
      <c r="A965"/>
      <c r="E965"/>
    </row>
    <row r="966" spans="1:5" ht="15.75" customHeight="1">
      <c r="A966"/>
      <c r="E966"/>
    </row>
    <row r="967" spans="1:5" ht="15.75" customHeight="1">
      <c r="A967"/>
      <c r="E967"/>
    </row>
    <row r="968" spans="1:5" ht="15.75" customHeight="1">
      <c r="A968"/>
      <c r="E968"/>
    </row>
    <row r="969" spans="1:5" ht="15.75" customHeight="1">
      <c r="A969"/>
      <c r="E969"/>
    </row>
    <row r="970" spans="1:5" ht="15.75" customHeight="1">
      <c r="A970"/>
      <c r="E970"/>
    </row>
    <row r="971" spans="1:5" ht="15.75" customHeight="1">
      <c r="A971"/>
      <c r="E971"/>
    </row>
    <row r="972" spans="1:5" ht="15.75" customHeight="1">
      <c r="A972"/>
      <c r="E972"/>
    </row>
    <row r="973" spans="1:5" ht="15.75" customHeight="1">
      <c r="A973"/>
      <c r="E973"/>
    </row>
    <row r="974" spans="1:5" ht="15.75" customHeight="1">
      <c r="A974"/>
      <c r="E974"/>
    </row>
    <row r="975" spans="1:5" ht="15.75" customHeight="1">
      <c r="A975"/>
      <c r="E975"/>
    </row>
    <row r="976" spans="1:5" ht="15.75" customHeight="1">
      <c r="A976"/>
      <c r="E976"/>
    </row>
    <row r="977" spans="1:5" ht="15.75" customHeight="1">
      <c r="A977"/>
      <c r="E977"/>
    </row>
    <row r="978" spans="1:5" ht="15.75" customHeight="1">
      <c r="A978"/>
      <c r="E978"/>
    </row>
    <row r="979" spans="1:5" ht="15.75" customHeight="1">
      <c r="A979"/>
      <c r="E979"/>
    </row>
    <row r="980" spans="1:5" ht="15.75" customHeight="1">
      <c r="A980"/>
      <c r="E980"/>
    </row>
    <row r="981" spans="1:5" ht="15.75" customHeight="1">
      <c r="A981"/>
      <c r="E981"/>
    </row>
    <row r="982" spans="1:5" ht="15.75" customHeight="1">
      <c r="A982"/>
      <c r="E982"/>
    </row>
    <row r="983" spans="1:5" ht="15.75" customHeight="1">
      <c r="A983"/>
      <c r="E983"/>
    </row>
    <row r="984" spans="1:5" ht="15.75" customHeight="1">
      <c r="A984"/>
      <c r="E984"/>
    </row>
    <row r="985" spans="1:5" ht="15.75" customHeight="1">
      <c r="A985"/>
      <c r="E985"/>
    </row>
  </sheetData>
  <autoFilter ref="B8:E119"/>
  <mergeCells count="6">
    <mergeCell ref="B114:D114"/>
    <mergeCell ref="B115:D115"/>
    <mergeCell ref="B116:D116"/>
    <mergeCell ref="B2:D2"/>
    <mergeCell ref="B5:D5"/>
    <mergeCell ref="B6:D6"/>
  </mergeCells>
  <pageMargins left="0.51181102362204722" right="0.23622047244094491" top="1.7716535433070868" bottom="0.74803149606299213" header="0.31496062992125984" footer="0.31496062992125984"/>
  <pageSetup fitToHeight="0" orientation="portrait" r:id="rId1"/>
  <headerFooter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>
    <tabColor rgb="FFFF0000"/>
  </sheetPr>
  <dimension ref="A1:P1640"/>
  <sheetViews>
    <sheetView tabSelected="1" topLeftCell="A7" zoomScale="115" zoomScaleNormal="115" zoomScaleSheetLayoutView="90" workbookViewId="0">
      <selection activeCell="A37" sqref="A1:K1048576"/>
    </sheetView>
  </sheetViews>
  <sheetFormatPr baseColWidth="10" defaultColWidth="14.453125" defaultRowHeight="15" customHeight="1"/>
  <cols>
    <col min="1" max="1" width="58.453125" style="278" customWidth="1"/>
    <col min="2" max="2" width="79.7265625" style="278" customWidth="1"/>
    <col min="3" max="3" width="12.453125" style="278" customWidth="1"/>
    <col min="4" max="7" width="11.1796875" style="285" customWidth="1"/>
    <col min="8" max="8" width="15.54296875" style="278" customWidth="1"/>
    <col min="9" max="9" width="24.453125" style="278" customWidth="1"/>
    <col min="10" max="10" width="28.54296875" style="278" customWidth="1"/>
    <col min="11" max="11" width="22.1796875" style="278" customWidth="1"/>
    <col min="12" max="12" width="7.54296875" style="278" hidden="1" customWidth="1"/>
    <col min="13" max="13" width="12.54296875" style="278" hidden="1" customWidth="1"/>
    <col min="14" max="14" width="22.1796875" style="278" hidden="1" customWidth="1"/>
    <col min="15" max="15" width="51.81640625" style="98" customWidth="1"/>
    <col min="16" max="16" width="31" style="278" customWidth="1"/>
    <col min="17" max="16384" width="14.453125" style="278"/>
  </cols>
  <sheetData>
    <row r="1" spans="1:16" ht="9.75" hidden="1" customHeight="1">
      <c r="A1" s="16"/>
      <c r="B1" s="16"/>
      <c r="C1" s="276"/>
      <c r="D1" s="2"/>
      <c r="E1" s="2"/>
      <c r="F1" s="2"/>
      <c r="G1" s="2"/>
      <c r="H1" s="276"/>
      <c r="I1" s="16"/>
      <c r="J1" s="16"/>
      <c r="K1" s="16"/>
      <c r="L1" s="16"/>
      <c r="M1" s="16"/>
      <c r="N1" s="276"/>
    </row>
    <row r="2" spans="1:16" ht="17.25" hidden="1" customHeight="1">
      <c r="A2" s="277"/>
      <c r="B2" s="16"/>
      <c r="C2" s="276"/>
      <c r="D2" s="2"/>
      <c r="E2" s="2"/>
      <c r="F2" s="2"/>
      <c r="G2" s="2"/>
      <c r="H2" s="276"/>
      <c r="I2" s="16"/>
      <c r="J2" s="3"/>
      <c r="K2" s="16"/>
      <c r="L2" s="16"/>
      <c r="M2" s="277" t="s">
        <v>63</v>
      </c>
      <c r="N2" s="4"/>
    </row>
    <row r="3" spans="1:16" ht="20.25" hidden="1" customHeight="1">
      <c r="A3" s="451" t="s">
        <v>64</v>
      </c>
      <c r="B3" s="452"/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</row>
    <row r="4" spans="1:16" ht="15" hidden="1" customHeight="1">
      <c r="A4" s="5" t="s">
        <v>402</v>
      </c>
      <c r="B4" s="14"/>
      <c r="C4" s="276"/>
      <c r="D4" s="2"/>
      <c r="E4" s="2"/>
      <c r="F4" s="2"/>
      <c r="G4" s="2"/>
      <c r="H4" s="276"/>
      <c r="I4" s="16"/>
      <c r="J4" s="16"/>
      <c r="K4" s="16"/>
      <c r="L4" s="16"/>
      <c r="M4" s="16"/>
      <c r="N4" s="276"/>
    </row>
    <row r="5" spans="1:16" ht="21" hidden="1" customHeight="1">
      <c r="A5" s="14"/>
      <c r="B5" s="16"/>
      <c r="C5" s="276"/>
      <c r="D5" s="2"/>
      <c r="E5" s="2"/>
      <c r="F5" s="2"/>
      <c r="G5" s="2"/>
      <c r="H5" s="276"/>
      <c r="I5" s="16"/>
      <c r="J5" s="16"/>
      <c r="K5" s="16"/>
      <c r="L5" s="16"/>
      <c r="M5" s="16"/>
      <c r="N5" s="276"/>
    </row>
    <row r="6" spans="1:16" ht="39" hidden="1" customHeight="1">
      <c r="A6" s="16"/>
      <c r="B6" s="16"/>
      <c r="C6" s="16"/>
      <c r="D6" s="453" t="s">
        <v>65</v>
      </c>
      <c r="E6" s="454"/>
      <c r="F6" s="454"/>
      <c r="G6" s="455"/>
      <c r="H6" s="16"/>
      <c r="I6" s="16"/>
      <c r="J6" s="16"/>
      <c r="K6" s="16"/>
      <c r="L6" s="16"/>
      <c r="M6" s="16"/>
      <c r="N6" s="16"/>
    </row>
    <row r="7" spans="1:16" ht="15.5">
      <c r="A7" s="319" t="s">
        <v>66</v>
      </c>
      <c r="B7" s="319" t="s">
        <v>67</v>
      </c>
      <c r="C7" s="319" t="s">
        <v>68</v>
      </c>
      <c r="D7" s="285" t="s">
        <v>69</v>
      </c>
      <c r="E7" s="285" t="s">
        <v>70</v>
      </c>
      <c r="F7" s="285" t="s">
        <v>71</v>
      </c>
      <c r="G7" s="285" t="s">
        <v>72</v>
      </c>
      <c r="H7" s="319" t="s">
        <v>73</v>
      </c>
      <c r="I7" s="319" t="s">
        <v>74</v>
      </c>
      <c r="J7" s="319" t="s">
        <v>75</v>
      </c>
      <c r="K7" s="319" t="s">
        <v>76</v>
      </c>
      <c r="L7" s="319" t="s">
        <v>77</v>
      </c>
      <c r="M7" s="319" t="s">
        <v>78</v>
      </c>
      <c r="N7" s="319" t="s">
        <v>79</v>
      </c>
      <c r="O7" s="98" t="s">
        <v>80</v>
      </c>
      <c r="P7" s="278" t="s">
        <v>377</v>
      </c>
    </row>
    <row r="8" spans="1:16" ht="76.5" customHeight="1">
      <c r="A8" s="6" t="s">
        <v>1</v>
      </c>
      <c r="B8" s="6" t="s">
        <v>81</v>
      </c>
      <c r="C8" s="6" t="s">
        <v>82</v>
      </c>
      <c r="D8" s="7" t="s">
        <v>691</v>
      </c>
      <c r="E8" s="7" t="s">
        <v>83</v>
      </c>
      <c r="F8" s="7" t="s">
        <v>84</v>
      </c>
      <c r="G8" s="7" t="s">
        <v>85</v>
      </c>
      <c r="H8" s="6" t="s">
        <v>86</v>
      </c>
      <c r="I8" s="42" t="s">
        <v>87</v>
      </c>
      <c r="J8" s="6" t="s">
        <v>88</v>
      </c>
      <c r="K8" s="6" t="s">
        <v>89</v>
      </c>
      <c r="L8" s="6" t="s">
        <v>90</v>
      </c>
      <c r="M8" s="6" t="s">
        <v>91</v>
      </c>
      <c r="N8" s="6" t="s">
        <v>92</v>
      </c>
      <c r="O8" s="6"/>
      <c r="P8" s="6" t="s">
        <v>863</v>
      </c>
    </row>
    <row r="9" spans="1:16" s="418" customFormat="1" ht="15.5">
      <c r="A9" s="126" t="s">
        <v>639</v>
      </c>
      <c r="B9" s="126" t="s">
        <v>874</v>
      </c>
      <c r="C9" s="420" t="s">
        <v>94</v>
      </c>
      <c r="D9" s="505"/>
      <c r="E9" s="497">
        <v>1</v>
      </c>
      <c r="F9" s="497"/>
      <c r="G9" s="421"/>
      <c r="H9" s="410">
        <f>+Table_1[[#This Row],[Column7]]+Table_1[[#This Row],[Column6]]+Table_1[[#This Row],[Column5]]+Table_1[[#This Row],[Column4]]</f>
        <v>1</v>
      </c>
      <c r="I9" s="274">
        <v>100000</v>
      </c>
      <c r="J9" s="422">
        <f>+Table_1[[#This Row],[Column8]]*Table_1[[#This Row],[Column9]]</f>
        <v>100000</v>
      </c>
      <c r="K9" s="423"/>
      <c r="L9" s="426"/>
      <c r="M9" s="512"/>
      <c r="N9" s="512"/>
      <c r="O9" s="426" t="s">
        <v>1374</v>
      </c>
      <c r="P9" s="417"/>
    </row>
    <row r="10" spans="1:16" s="97" customFormat="1" ht="15.5">
      <c r="A10" s="31" t="s">
        <v>639</v>
      </c>
      <c r="B10" s="31" t="s">
        <v>875</v>
      </c>
      <c r="C10" s="32" t="s">
        <v>94</v>
      </c>
      <c r="D10" s="133">
        <v>1</v>
      </c>
      <c r="E10" s="133"/>
      <c r="F10" s="133"/>
      <c r="G10" s="133"/>
      <c r="H10" s="67">
        <f>+Table_1[[#This Row],[Column7]]+Table_1[[#This Row],[Column6]]+Table_1[[#This Row],[Column5]]+Table_1[[#This Row],[Column4]]</f>
        <v>1</v>
      </c>
      <c r="I10" s="38">
        <v>35000</v>
      </c>
      <c r="J10" s="34">
        <f>+Table_1[[#This Row],[Column8]]*Table_1[[#This Row],[Column9]]</f>
        <v>35000</v>
      </c>
      <c r="K10" s="35"/>
      <c r="L10" s="63"/>
      <c r="M10" s="114"/>
      <c r="N10" s="114"/>
      <c r="O10" s="63" t="s">
        <v>1374</v>
      </c>
      <c r="P10" s="320"/>
    </row>
    <row r="11" spans="1:16" ht="15.75" customHeight="1">
      <c r="A11" s="9" t="s">
        <v>639</v>
      </c>
      <c r="B11" s="10"/>
      <c r="C11" s="10"/>
      <c r="D11" s="148"/>
      <c r="E11" s="148"/>
      <c r="F11" s="148"/>
      <c r="G11" s="148"/>
      <c r="H11" s="111"/>
      <c r="I11" s="44"/>
      <c r="J11" s="12"/>
      <c r="K11" s="13">
        <f>SUBTOTAL(109,J9:J10)</f>
        <v>135000</v>
      </c>
      <c r="L11" s="101"/>
      <c r="M11" s="101"/>
      <c r="N11" s="101"/>
      <c r="O11" s="101"/>
      <c r="P11" s="321"/>
    </row>
    <row r="12" spans="1:16" s="97" customFormat="1" ht="16" customHeight="1">
      <c r="A12" s="174" t="s">
        <v>532</v>
      </c>
      <c r="B12" s="174" t="s">
        <v>533</v>
      </c>
      <c r="C12" s="179" t="s">
        <v>534</v>
      </c>
      <c r="D12" s="182"/>
      <c r="E12" s="194">
        <v>75</v>
      </c>
      <c r="F12" s="182"/>
      <c r="G12" s="182"/>
      <c r="H12" s="67">
        <f>+Table_1[[#This Row],[Column7]]+Table_1[[#This Row],[Column6]]+Table_1[[#This Row],[Column5]]+Table_1[[#This Row],[Column4]]</f>
        <v>75</v>
      </c>
      <c r="I12" s="177">
        <v>1300</v>
      </c>
      <c r="J12" s="201">
        <f>+'PACC GENERAL 2026'!$H12*'PACC GENERAL 2026'!$I12</f>
        <v>97500</v>
      </c>
      <c r="K12" s="186"/>
      <c r="L12" s="193"/>
      <c r="M12" s="193"/>
      <c r="N12" s="193"/>
      <c r="O12" s="63" t="s">
        <v>1312</v>
      </c>
      <c r="P12" s="322"/>
    </row>
    <row r="13" spans="1:16" ht="16" customHeight="1">
      <c r="A13" s="9" t="s">
        <v>532</v>
      </c>
      <c r="B13" s="10"/>
      <c r="C13" s="10"/>
      <c r="D13" s="148"/>
      <c r="E13" s="148"/>
      <c r="F13" s="148"/>
      <c r="G13" s="148"/>
      <c r="H13" s="111"/>
      <c r="I13" s="44"/>
      <c r="J13" s="12"/>
      <c r="K13" s="13">
        <f>+J12</f>
        <v>97500</v>
      </c>
      <c r="L13" s="99"/>
      <c r="M13" s="99"/>
      <c r="N13" s="99"/>
      <c r="O13" s="101"/>
      <c r="P13" s="321"/>
    </row>
    <row r="14" spans="1:16" s="97" customFormat="1" ht="15.75" customHeight="1">
      <c r="A14" s="31" t="s">
        <v>590</v>
      </c>
      <c r="B14" s="31" t="s">
        <v>531</v>
      </c>
      <c r="C14" s="32" t="s">
        <v>399</v>
      </c>
      <c r="D14" s="133"/>
      <c r="E14" s="137"/>
      <c r="F14" s="137"/>
      <c r="G14" s="133"/>
      <c r="H14" s="67">
        <f>+Table_1[[#This Row],[Column7]]+Table_1[[#This Row],[Column6]]+Table_1[[#This Row],[Column5]]+Table_1[[#This Row],[Column4]]</f>
        <v>0</v>
      </c>
      <c r="I14" s="38">
        <v>15000</v>
      </c>
      <c r="J14" s="34">
        <f>+'PACC GENERAL 2026'!$H14*'PACC GENERAL 2026'!$I14</f>
        <v>0</v>
      </c>
      <c r="K14" s="35"/>
      <c r="L14" s="32"/>
      <c r="M14" s="32"/>
      <c r="N14" s="32"/>
      <c r="O14" s="100"/>
    </row>
    <row r="15" spans="1:16" s="97" customFormat="1" ht="15.5">
      <c r="A15" s="31" t="s">
        <v>590</v>
      </c>
      <c r="B15" s="31" t="s">
        <v>810</v>
      </c>
      <c r="C15" s="32" t="s">
        <v>399</v>
      </c>
      <c r="D15" s="133"/>
      <c r="E15" s="137"/>
      <c r="F15" s="133"/>
      <c r="G15" s="133"/>
      <c r="H15" s="67">
        <f>+Table_1[[#This Row],[Column7]]+Table_1[[#This Row],[Column6]]+Table_1[[#This Row],[Column5]]+Table_1[[#This Row],[Column4]]</f>
        <v>0</v>
      </c>
      <c r="I15" s="38">
        <v>50976</v>
      </c>
      <c r="J15" s="34">
        <f>+'PACC GENERAL 2026'!$H15*'PACC GENERAL 2026'!$I15</f>
        <v>0</v>
      </c>
      <c r="K15" s="35"/>
      <c r="L15" s="32"/>
      <c r="M15" s="32"/>
      <c r="N15" s="32"/>
      <c r="O15" s="100"/>
      <c r="P15" s="320"/>
    </row>
    <row r="16" spans="1:16" s="97" customFormat="1" ht="15.75" customHeight="1">
      <c r="A16" s="174" t="s">
        <v>590</v>
      </c>
      <c r="B16" s="174" t="s">
        <v>811</v>
      </c>
      <c r="C16" s="179" t="s">
        <v>399</v>
      </c>
      <c r="D16" s="182"/>
      <c r="E16" s="194"/>
      <c r="F16" s="182"/>
      <c r="G16" s="182"/>
      <c r="H16" s="67">
        <f>+Table_1[[#This Row],[Column7]]+Table_1[[#This Row],[Column6]]+Table_1[[#This Row],[Column5]]+Table_1[[#This Row],[Column4]]</f>
        <v>0</v>
      </c>
      <c r="I16" s="177">
        <v>50976</v>
      </c>
      <c r="J16" s="201">
        <f>+'PACC GENERAL 2026'!$H16*'PACC GENERAL 2026'!$I16</f>
        <v>0</v>
      </c>
      <c r="K16" s="186"/>
      <c r="L16" s="179"/>
      <c r="M16" s="179"/>
      <c r="N16" s="179"/>
      <c r="O16" s="193"/>
      <c r="P16" s="320"/>
    </row>
    <row r="17" spans="1:16" s="97" customFormat="1" ht="15.5">
      <c r="A17" s="31" t="s">
        <v>590</v>
      </c>
      <c r="B17" s="31" t="s">
        <v>591</v>
      </c>
      <c r="C17" s="32" t="s">
        <v>399</v>
      </c>
      <c r="D17" s="133"/>
      <c r="E17" s="137"/>
      <c r="F17" s="137"/>
      <c r="G17" s="133"/>
      <c r="H17" s="67">
        <f>+Table_1[[#This Row],[Column7]]+Table_1[[#This Row],[Column6]]+Table_1[[#This Row],[Column5]]+Table_1[[#This Row],[Column4]]</f>
        <v>0</v>
      </c>
      <c r="I17" s="38">
        <v>50976</v>
      </c>
      <c r="J17" s="34">
        <f>+'PACC GENERAL 2026'!$H17*'PACC GENERAL 2026'!$I17</f>
        <v>0</v>
      </c>
      <c r="K17" s="35"/>
      <c r="L17" s="100"/>
      <c r="M17" s="100"/>
      <c r="N17" s="100"/>
      <c r="O17" s="100"/>
      <c r="P17" s="320"/>
    </row>
    <row r="18" spans="1:16" ht="15.5">
      <c r="A18" s="9" t="s">
        <v>590</v>
      </c>
      <c r="B18" s="10"/>
      <c r="C18" s="10"/>
      <c r="D18" s="148"/>
      <c r="E18" s="148"/>
      <c r="F18" s="148"/>
      <c r="G18" s="148"/>
      <c r="H18" s="111"/>
      <c r="I18" s="44"/>
      <c r="J18" s="12"/>
      <c r="K18" s="13">
        <f>SUM(J14:J17)</f>
        <v>0</v>
      </c>
      <c r="L18" s="73"/>
      <c r="M18" s="73"/>
      <c r="N18" s="73"/>
      <c r="O18" s="107"/>
    </row>
    <row r="19" spans="1:16" s="97" customFormat="1" ht="15.5">
      <c r="A19" s="278" t="s">
        <v>1381</v>
      </c>
      <c r="B19" s="48" t="s">
        <v>1060</v>
      </c>
      <c r="C19" s="32" t="s">
        <v>94</v>
      </c>
      <c r="D19" s="133"/>
      <c r="E19" s="137">
        <v>200</v>
      </c>
      <c r="F19" s="133"/>
      <c r="G19" s="133"/>
      <c r="H19" s="67">
        <f>+Table_1[[#This Row],[Column7]]+Table_1[[#This Row],[Column6]]+Table_1[[#This Row],[Column5]]+Table_1[[#This Row],[Column4]]</f>
        <v>200</v>
      </c>
      <c r="I19" s="38">
        <v>60</v>
      </c>
      <c r="J19" s="34">
        <f>+'PACC GENERAL 2026'!$H19*'PACC GENERAL 2026'!$I19</f>
        <v>12000</v>
      </c>
      <c r="K19" s="35"/>
      <c r="L19" s="190"/>
      <c r="M19" s="190"/>
      <c r="N19" s="190"/>
      <c r="O19" s="63" t="s">
        <v>434</v>
      </c>
    </row>
    <row r="20" spans="1:16" ht="15.5">
      <c r="A20" s="9" t="s">
        <v>1381</v>
      </c>
      <c r="B20" s="10"/>
      <c r="C20" s="10"/>
      <c r="D20" s="148"/>
      <c r="E20" s="148"/>
      <c r="F20" s="148"/>
      <c r="G20" s="148"/>
      <c r="H20" s="111"/>
      <c r="I20" s="44"/>
      <c r="J20" s="12"/>
      <c r="K20" s="13">
        <f>SUM(J18:J19)</f>
        <v>12000</v>
      </c>
      <c r="L20" s="73"/>
      <c r="M20" s="73"/>
      <c r="N20" s="73"/>
      <c r="O20" s="107"/>
    </row>
    <row r="21" spans="1:16" s="97" customFormat="1" ht="15.5">
      <c r="A21" s="278" t="s">
        <v>710</v>
      </c>
      <c r="B21" s="48" t="s">
        <v>711</v>
      </c>
      <c r="C21" s="32" t="s">
        <v>94</v>
      </c>
      <c r="D21" s="133"/>
      <c r="E21" s="137"/>
      <c r="F21" s="133"/>
      <c r="G21" s="133"/>
      <c r="H21" s="67">
        <f>+Table_1[[#This Row],[Column7]]+Table_1[[#This Row],[Column6]]+Table_1[[#This Row],[Column5]]+Table_1[[#This Row],[Column4]]</f>
        <v>0</v>
      </c>
      <c r="I21" s="38">
        <v>500</v>
      </c>
      <c r="J21" s="34">
        <f>+'PACC GENERAL 2026'!$H21*'PACC GENERAL 2026'!$I21</f>
        <v>0</v>
      </c>
      <c r="K21" s="35"/>
      <c r="L21" s="190"/>
      <c r="M21" s="190"/>
      <c r="N21" s="190"/>
      <c r="O21" s="179"/>
    </row>
    <row r="22" spans="1:16" s="97" customFormat="1" ht="15.5">
      <c r="A22" s="278" t="s">
        <v>710</v>
      </c>
      <c r="B22" s="48" t="s">
        <v>712</v>
      </c>
      <c r="C22" s="32" t="s">
        <v>94</v>
      </c>
      <c r="D22" s="133"/>
      <c r="E22" s="137"/>
      <c r="F22" s="133"/>
      <c r="G22" s="133"/>
      <c r="H22" s="67">
        <f>+Table_1[[#This Row],[Column7]]+Table_1[[#This Row],[Column6]]+Table_1[[#This Row],[Column5]]+Table_1[[#This Row],[Column4]]</f>
        <v>0</v>
      </c>
      <c r="I22" s="38">
        <v>850</v>
      </c>
      <c r="J22" s="34">
        <f>+'PACC GENERAL 2026'!$H22*'PACC GENERAL 2026'!$I22</f>
        <v>0</v>
      </c>
      <c r="K22" s="35"/>
      <c r="L22" s="190"/>
      <c r="M22" s="190"/>
      <c r="N22" s="190"/>
      <c r="O22" s="179"/>
    </row>
    <row r="23" spans="1:16" ht="15.5">
      <c r="A23" s="9" t="s">
        <v>710</v>
      </c>
      <c r="B23" s="10"/>
      <c r="C23" s="10"/>
      <c r="D23" s="148"/>
      <c r="E23" s="148"/>
      <c r="F23" s="148"/>
      <c r="G23" s="148"/>
      <c r="H23" s="111"/>
      <c r="I23" s="44"/>
      <c r="J23" s="12"/>
      <c r="K23" s="13">
        <f>SUM(J21:J22)</f>
        <v>0</v>
      </c>
      <c r="L23" s="73"/>
      <c r="M23" s="73"/>
      <c r="N23" s="73"/>
      <c r="O23" s="107"/>
    </row>
    <row r="24" spans="1:16" s="97" customFormat="1" ht="15.5">
      <c r="A24" s="174" t="s">
        <v>636</v>
      </c>
      <c r="B24" s="174" t="s">
        <v>259</v>
      </c>
      <c r="C24" s="179" t="s">
        <v>138</v>
      </c>
      <c r="D24" s="182"/>
      <c r="E24" s="194"/>
      <c r="F24" s="182"/>
      <c r="G24" s="182"/>
      <c r="H24" s="67">
        <f>+Table_1[[#This Row],[Column7]]+Table_1[[#This Row],[Column6]]+Table_1[[#This Row],[Column5]]+Table_1[[#This Row],[Column4]]</f>
        <v>0</v>
      </c>
      <c r="I24" s="177">
        <v>70</v>
      </c>
      <c r="J24" s="201">
        <f>+'PACC GENERAL 2026'!$H24*'PACC GENERAL 2026'!$I24</f>
        <v>0</v>
      </c>
      <c r="K24" s="186"/>
      <c r="L24" s="179"/>
      <c r="M24" s="179"/>
      <c r="N24" s="179"/>
      <c r="O24" s="63"/>
      <c r="P24" s="320"/>
    </row>
    <row r="25" spans="1:16" ht="15.5">
      <c r="A25" s="9" t="s">
        <v>636</v>
      </c>
      <c r="B25" s="10"/>
      <c r="C25" s="10"/>
      <c r="D25" s="148"/>
      <c r="E25" s="148"/>
      <c r="F25" s="148"/>
      <c r="G25" s="148"/>
      <c r="H25" s="111"/>
      <c r="I25" s="44"/>
      <c r="J25" s="12"/>
      <c r="K25" s="13">
        <f>+J24</f>
        <v>0</v>
      </c>
      <c r="L25" s="73"/>
      <c r="M25" s="73"/>
      <c r="N25" s="73"/>
      <c r="O25" s="107"/>
      <c r="P25" s="321"/>
    </row>
    <row r="26" spans="1:16" s="418" customFormat="1" ht="15.5">
      <c r="A26" s="428" t="s">
        <v>1059</v>
      </c>
      <c r="B26" s="428" t="s">
        <v>1060</v>
      </c>
      <c r="C26" s="495" t="s">
        <v>1061</v>
      </c>
      <c r="D26" s="497"/>
      <c r="E26" s="496">
        <f>200-200</f>
        <v>0</v>
      </c>
      <c r="F26" s="497"/>
      <c r="G26" s="497"/>
      <c r="H26" s="410">
        <f>SUM(D26:G26)</f>
        <v>0</v>
      </c>
      <c r="I26" s="513">
        <v>60</v>
      </c>
      <c r="J26" s="432">
        <f>H26*I26</f>
        <v>0</v>
      </c>
      <c r="K26" s="514"/>
      <c r="L26" s="495"/>
      <c r="M26" s="495"/>
      <c r="N26" s="495"/>
      <c r="O26" s="426" t="s">
        <v>434</v>
      </c>
      <c r="P26" s="417"/>
    </row>
    <row r="27" spans="1:16" ht="15.5">
      <c r="A27" s="9" t="s">
        <v>1059</v>
      </c>
      <c r="B27" s="10"/>
      <c r="C27" s="10"/>
      <c r="D27" s="148"/>
      <c r="E27" s="148"/>
      <c r="F27" s="148"/>
      <c r="G27" s="148"/>
      <c r="H27" s="111"/>
      <c r="I27" s="44"/>
      <c r="J27" s="12"/>
      <c r="K27" s="13">
        <f>+J26</f>
        <v>0</v>
      </c>
      <c r="L27" s="73"/>
      <c r="M27" s="73"/>
      <c r="N27" s="73"/>
      <c r="O27" s="107"/>
      <c r="P27" s="321"/>
    </row>
    <row r="28" spans="1:16" s="287" customFormat="1" ht="22.5" customHeight="1">
      <c r="A28" s="31" t="s">
        <v>2</v>
      </c>
      <c r="B28" s="31" t="s">
        <v>405</v>
      </c>
      <c r="C28" s="32" t="s">
        <v>406</v>
      </c>
      <c r="D28" s="133">
        <v>300000</v>
      </c>
      <c r="E28" s="137"/>
      <c r="F28" s="133"/>
      <c r="G28" s="133"/>
      <c r="H28" s="67">
        <f>+Table_1[[#This Row],[Column7]]+Table_1[[#This Row],[Column6]]+Table_1[[#This Row],[Column5]]+Table_1[[#This Row],[Column4]]</f>
        <v>300000</v>
      </c>
      <c r="I28" s="38">
        <v>112.1</v>
      </c>
      <c r="J28" s="39">
        <f>+'PACC GENERAL 2026'!$H28*'PACC GENERAL 2026'!$I28</f>
        <v>33630000</v>
      </c>
      <c r="K28" s="40"/>
      <c r="L28" s="40"/>
      <c r="M28" s="40"/>
      <c r="N28" s="40"/>
      <c r="O28" s="212" t="s">
        <v>1224</v>
      </c>
      <c r="P28" s="323"/>
    </row>
    <row r="29" spans="1:16" s="287" customFormat="1" ht="22.5" customHeight="1">
      <c r="A29" s="31" t="s">
        <v>2</v>
      </c>
      <c r="B29" s="31" t="s">
        <v>407</v>
      </c>
      <c r="C29" s="32" t="s">
        <v>97</v>
      </c>
      <c r="D29" s="133">
        <f>143000+750+2385</f>
        <v>146135</v>
      </c>
      <c r="E29" s="137"/>
      <c r="F29" s="133"/>
      <c r="G29" s="133"/>
      <c r="H29" s="67">
        <f>+Table_1[[#This Row],[Column7]]+Table_1[[#This Row],[Column6]]+Table_1[[#This Row],[Column5]]+Table_1[[#This Row],[Column4]]</f>
        <v>146135</v>
      </c>
      <c r="I29" s="38">
        <v>420</v>
      </c>
      <c r="J29" s="39">
        <f>+'PACC GENERAL 2026'!$H29*'PACC GENERAL 2026'!$I29</f>
        <v>61376700</v>
      </c>
      <c r="K29" s="40"/>
      <c r="L29" s="40"/>
      <c r="M29" s="40"/>
      <c r="N29" s="40"/>
      <c r="O29" s="212" t="s">
        <v>1378</v>
      </c>
      <c r="P29" s="323"/>
    </row>
    <row r="30" spans="1:16" s="287" customFormat="1" ht="22.5" customHeight="1">
      <c r="A30" s="31" t="s">
        <v>2</v>
      </c>
      <c r="B30" s="31" t="s">
        <v>95</v>
      </c>
      <c r="C30" s="32" t="s">
        <v>96</v>
      </c>
      <c r="D30" s="133">
        <v>1800000</v>
      </c>
      <c r="E30" s="137"/>
      <c r="F30" s="133"/>
      <c r="G30" s="133"/>
      <c r="H30" s="67">
        <f>+Table_1[[#This Row],[Column7]]+Table_1[[#This Row],[Column6]]+Table_1[[#This Row],[Column5]]+Table_1[[#This Row],[Column4]]</f>
        <v>1800000</v>
      </c>
      <c r="I30" s="38">
        <v>33.04</v>
      </c>
      <c r="J30" s="39">
        <f>+'PACC GENERAL 2026'!$H30*'PACC GENERAL 2026'!$I30</f>
        <v>59472000</v>
      </c>
      <c r="K30" s="40"/>
      <c r="L30" s="40"/>
      <c r="M30" s="40"/>
      <c r="N30" s="40"/>
      <c r="O30" s="212" t="s">
        <v>1224</v>
      </c>
      <c r="P30" s="323"/>
    </row>
    <row r="31" spans="1:16" s="287" customFormat="1" ht="15.5">
      <c r="A31" s="36" t="s">
        <v>2</v>
      </c>
      <c r="B31" s="36" t="s">
        <v>725</v>
      </c>
      <c r="C31" s="37" t="s">
        <v>94</v>
      </c>
      <c r="D31" s="138"/>
      <c r="E31" s="213"/>
      <c r="F31" s="138"/>
      <c r="G31" s="138"/>
      <c r="H31" s="67">
        <f>+Table_1[[#This Row],[Column7]]+Table_1[[#This Row],[Column6]]+Table_1[[#This Row],[Column5]]+Table_1[[#This Row],[Column4]]</f>
        <v>0</v>
      </c>
      <c r="I31" s="38">
        <v>12250</v>
      </c>
      <c r="J31" s="39">
        <f>+'PACC GENERAL 2026'!$H31*'PACC GENERAL 2026'!$I31</f>
        <v>0</v>
      </c>
      <c r="K31" s="40"/>
      <c r="L31" s="37"/>
      <c r="M31" s="37"/>
      <c r="N31" s="37"/>
      <c r="O31" s="37"/>
      <c r="P31" s="323"/>
    </row>
    <row r="32" spans="1:16" ht="15.5">
      <c r="A32" s="16" t="s">
        <v>2</v>
      </c>
      <c r="B32" s="16" t="s">
        <v>95</v>
      </c>
      <c r="C32" s="276" t="s">
        <v>96</v>
      </c>
      <c r="D32" s="149"/>
      <c r="F32" s="149"/>
      <c r="G32" s="149"/>
      <c r="H32" s="67">
        <f>+Table_1[[#This Row],[Column7]]+Table_1[[#This Row],[Column6]]+Table_1[[#This Row],[Column5]]+Table_1[[#This Row],[Column4]]</f>
        <v>0</v>
      </c>
      <c r="I32" s="43">
        <v>33.04</v>
      </c>
      <c r="J32" s="34">
        <f>+'PACC GENERAL 2026'!$H32*'PACC GENERAL 2026'!$I32</f>
        <v>0</v>
      </c>
      <c r="K32" s="8"/>
      <c r="L32" s="16"/>
      <c r="M32" s="16"/>
      <c r="N32" s="16"/>
      <c r="O32" s="276"/>
    </row>
    <row r="33" spans="1:16" ht="15.5">
      <c r="A33" s="9" t="s">
        <v>2</v>
      </c>
      <c r="B33" s="10"/>
      <c r="C33" s="10"/>
      <c r="D33" s="148"/>
      <c r="E33" s="148"/>
      <c r="F33" s="148"/>
      <c r="G33" s="148"/>
      <c r="H33" s="111"/>
      <c r="I33" s="44"/>
      <c r="J33" s="12"/>
      <c r="K33" s="13">
        <f>SUM(J28:J32)</f>
        <v>154478700</v>
      </c>
      <c r="L33" s="10"/>
      <c r="M33" s="10"/>
      <c r="N33" s="10"/>
      <c r="O33" s="73"/>
    </row>
    <row r="34" spans="1:16" s="418" customFormat="1" ht="16" customHeight="1">
      <c r="A34" s="126" t="s">
        <v>1679</v>
      </c>
      <c r="B34" s="126" t="s">
        <v>415</v>
      </c>
      <c r="C34" s="420" t="s">
        <v>416</v>
      </c>
      <c r="D34" s="440">
        <v>4180</v>
      </c>
      <c r="E34" s="416"/>
      <c r="F34" s="416"/>
      <c r="G34" s="421"/>
      <c r="H34" s="410">
        <f>+Table_1[[#This Row],[Column7]]+Table_1[[#This Row],[Column6]]+Table_1[[#This Row],[Column5]]+Table_1[[#This Row],[Column4]]</f>
        <v>4180</v>
      </c>
      <c r="I34" s="274">
        <v>110</v>
      </c>
      <c r="J34" s="422">
        <f>+'PACC GENERAL 2026'!$H34*'PACC GENERAL 2026'!$I34</f>
        <v>459800</v>
      </c>
      <c r="K34" s="423"/>
      <c r="L34" s="126"/>
      <c r="M34" s="126"/>
      <c r="N34" s="126"/>
      <c r="O34" s="495" t="s">
        <v>1191</v>
      </c>
    </row>
    <row r="35" spans="1:16" s="418" customFormat="1" ht="15.5">
      <c r="A35" s="126" t="s">
        <v>1679</v>
      </c>
      <c r="B35" s="126" t="s">
        <v>417</v>
      </c>
      <c r="C35" s="420" t="s">
        <v>416</v>
      </c>
      <c r="D35" s="499">
        <v>19800</v>
      </c>
      <c r="E35" s="496"/>
      <c r="F35" s="416"/>
      <c r="G35" s="421"/>
      <c r="H35" s="410">
        <f>+Table_1[[#This Row],[Column7]]+Table_1[[#This Row],[Column6]]+Table_1[[#This Row],[Column5]]+Table_1[[#This Row],[Column4]]</f>
        <v>19800</v>
      </c>
      <c r="I35" s="274">
        <v>110</v>
      </c>
      <c r="J35" s="422">
        <f>+'PACC GENERAL 2026'!$H35*'PACC GENERAL 2026'!$I35</f>
        <v>2178000</v>
      </c>
      <c r="K35" s="423"/>
      <c r="L35" s="126"/>
      <c r="M35" s="126"/>
      <c r="N35" s="126"/>
      <c r="O35" s="495" t="s">
        <v>1191</v>
      </c>
    </row>
    <row r="36" spans="1:16" s="406" customFormat="1" ht="15.5">
      <c r="A36" s="9" t="s">
        <v>1679</v>
      </c>
      <c r="B36" s="10"/>
      <c r="C36" s="10"/>
      <c r="D36" s="148"/>
      <c r="E36" s="148"/>
      <c r="F36" s="148"/>
      <c r="G36" s="148"/>
      <c r="H36" s="111"/>
      <c r="I36" s="44"/>
      <c r="J36" s="12"/>
      <c r="K36" s="13">
        <f>SUBTOTAL(109,J34:J35)</f>
        <v>2637800</v>
      </c>
      <c r="L36" s="10"/>
      <c r="M36" s="10"/>
      <c r="N36" s="10"/>
      <c r="O36" s="73"/>
    </row>
    <row r="37" spans="1:16" s="287" customFormat="1" ht="15.5">
      <c r="A37" s="36" t="s">
        <v>870</v>
      </c>
      <c r="B37" s="36" t="s">
        <v>847</v>
      </c>
      <c r="C37" s="37" t="s">
        <v>148</v>
      </c>
      <c r="D37" s="138"/>
      <c r="E37" s="213"/>
      <c r="F37" s="138"/>
      <c r="G37" s="138"/>
      <c r="H37" s="67">
        <f>+Table_1[[#This Row],[Column7]]+Table_1[[#This Row],[Column6]]+Table_1[[#This Row],[Column5]]+Table_1[[#This Row],[Column4]]</f>
        <v>0</v>
      </c>
      <c r="I37" s="38">
        <v>625</v>
      </c>
      <c r="J37" s="39">
        <f>+'PACC GENERAL 2026'!$H37*'PACC GENERAL 2026'!$I37</f>
        <v>0</v>
      </c>
      <c r="K37" s="40"/>
      <c r="L37" s="36"/>
      <c r="M37" s="36"/>
      <c r="N37" s="36"/>
      <c r="O37" s="37"/>
      <c r="P37" s="323"/>
    </row>
    <row r="38" spans="1:16" s="97" customFormat="1" ht="15.5">
      <c r="A38" s="36" t="s">
        <v>870</v>
      </c>
      <c r="B38" s="31" t="s">
        <v>992</v>
      </c>
      <c r="C38" s="32" t="s">
        <v>138</v>
      </c>
      <c r="D38" s="155"/>
      <c r="E38" s="231">
        <v>1</v>
      </c>
      <c r="F38" s="231"/>
      <c r="G38" s="133"/>
      <c r="H38" s="67">
        <f>+Table_1[[#This Row],[Column7]]+Table_1[[#This Row],[Column6]]+Table_1[[#This Row],[Column5]]+Table_1[[#This Row],[Column4]]</f>
        <v>1</v>
      </c>
      <c r="I38" s="38">
        <v>4000</v>
      </c>
      <c r="J38" s="34">
        <f>'PACC GENERAL 2026'!$I38*'PACC GENERAL 2026'!$H38</f>
        <v>4000</v>
      </c>
      <c r="K38" s="34"/>
      <c r="L38" s="31"/>
      <c r="M38" s="31"/>
      <c r="N38" s="32"/>
      <c r="O38" s="32" t="s">
        <v>414</v>
      </c>
      <c r="P38" s="320"/>
    </row>
    <row r="39" spans="1:16" s="97" customFormat="1" ht="15.5">
      <c r="A39" s="36" t="s">
        <v>870</v>
      </c>
      <c r="B39" s="31" t="s">
        <v>993</v>
      </c>
      <c r="C39" s="32" t="s">
        <v>138</v>
      </c>
      <c r="D39" s="155"/>
      <c r="E39" s="231">
        <v>1</v>
      </c>
      <c r="F39" s="231"/>
      <c r="G39" s="133"/>
      <c r="H39" s="67">
        <f>+Table_1[[#This Row],[Column7]]+Table_1[[#This Row],[Column6]]+Table_1[[#This Row],[Column5]]+Table_1[[#This Row],[Column4]]</f>
        <v>1</v>
      </c>
      <c r="I39" s="38">
        <v>7000</v>
      </c>
      <c r="J39" s="34">
        <f>'PACC GENERAL 2026'!$I39*'PACC GENERAL 2026'!$H39</f>
        <v>7000</v>
      </c>
      <c r="K39" s="34"/>
      <c r="L39" s="31"/>
      <c r="M39" s="31"/>
      <c r="N39" s="32"/>
      <c r="O39" s="32" t="s">
        <v>414</v>
      </c>
      <c r="P39" s="320"/>
    </row>
    <row r="40" spans="1:16" ht="15.75" customHeight="1">
      <c r="A40" s="36" t="s">
        <v>870</v>
      </c>
      <c r="B40" s="16" t="s">
        <v>234</v>
      </c>
      <c r="C40" s="276" t="s">
        <v>148</v>
      </c>
      <c r="D40" s="149">
        <v>2</v>
      </c>
      <c r="E40" s="234"/>
      <c r="F40" s="232"/>
      <c r="G40" s="232"/>
      <c r="H40" s="67">
        <f>+Table_1[[#This Row],[Column7]]+Table_1[[#This Row],[Column6]]+Table_1[[#This Row],[Column5]]+Table_1[[#This Row],[Column4]]</f>
        <v>2</v>
      </c>
      <c r="I40" s="43">
        <v>1100</v>
      </c>
      <c r="J40" s="34">
        <f>'PACC GENERAL 2026'!$I40*'PACC GENERAL 2026'!$H40</f>
        <v>2200</v>
      </c>
      <c r="K40" s="17"/>
      <c r="L40" s="16"/>
      <c r="M40" s="16"/>
      <c r="N40" s="16"/>
      <c r="O40" s="276" t="s">
        <v>1191</v>
      </c>
      <c r="P40" s="324"/>
    </row>
    <row r="41" spans="1:16" s="287" customFormat="1" ht="15.5">
      <c r="A41" s="77" t="s">
        <v>583</v>
      </c>
      <c r="B41" s="77" t="s">
        <v>584</v>
      </c>
      <c r="C41" s="37" t="s">
        <v>93</v>
      </c>
      <c r="D41" s="138"/>
      <c r="E41" s="138"/>
      <c r="F41" s="138"/>
      <c r="G41" s="138"/>
      <c r="H41" s="67">
        <f>+Table_1[[#This Row],[Column7]]+Table_1[[#This Row],[Column6]]+Table_1[[#This Row],[Column5]]+Table_1[[#This Row],[Column4]]</f>
        <v>0</v>
      </c>
      <c r="I41" s="38">
        <v>200</v>
      </c>
      <c r="J41" s="39">
        <f>+'PACC GENERAL 2026'!$H41*'PACC GENERAL 2026'!$I41</f>
        <v>0</v>
      </c>
      <c r="K41" s="40"/>
      <c r="L41" s="37"/>
      <c r="M41" s="37"/>
      <c r="N41" s="37"/>
      <c r="O41" s="123"/>
      <c r="P41" s="323"/>
    </row>
    <row r="42" spans="1:16" ht="15.5">
      <c r="A42" s="9" t="s">
        <v>583</v>
      </c>
      <c r="B42" s="10"/>
      <c r="C42" s="10"/>
      <c r="D42" s="148"/>
      <c r="E42" s="148"/>
      <c r="F42" s="148"/>
      <c r="G42" s="148"/>
      <c r="H42" s="111"/>
      <c r="I42" s="44"/>
      <c r="J42" s="12"/>
      <c r="K42" s="13">
        <f>SUM(J37:J41)</f>
        <v>13200</v>
      </c>
      <c r="L42" s="10"/>
      <c r="M42" s="10"/>
      <c r="N42" s="10"/>
      <c r="O42" s="73"/>
      <c r="P42" s="321"/>
    </row>
    <row r="43" spans="1:16" s="97" customFormat="1" ht="15.5">
      <c r="A43" s="86" t="s">
        <v>626</v>
      </c>
      <c r="B43" s="174" t="s">
        <v>234</v>
      </c>
      <c r="C43" s="179" t="s">
        <v>148</v>
      </c>
      <c r="D43" s="182"/>
      <c r="E43" s="182"/>
      <c r="F43" s="182"/>
      <c r="G43" s="182"/>
      <c r="H43" s="67">
        <f>+Table_1[[#This Row],[Column7]]+Table_1[[#This Row],[Column6]]+Table_1[[#This Row],[Column5]]+Table_1[[#This Row],[Column4]]</f>
        <v>0</v>
      </c>
      <c r="I43" s="177">
        <v>1100</v>
      </c>
      <c r="J43" s="201">
        <f>+'PACC GENERAL 2026'!$H43*'PACC GENERAL 2026'!$I43</f>
        <v>0</v>
      </c>
      <c r="K43" s="186"/>
      <c r="L43" s="179"/>
      <c r="M43" s="179"/>
      <c r="N43" s="179"/>
      <c r="O43" s="63"/>
      <c r="P43" s="320"/>
    </row>
    <row r="44" spans="1:16" ht="15.5">
      <c r="A44" s="9" t="s">
        <v>626</v>
      </c>
      <c r="B44" s="10"/>
      <c r="C44" s="10"/>
      <c r="D44" s="148"/>
      <c r="E44" s="148"/>
      <c r="F44" s="148"/>
      <c r="G44" s="148"/>
      <c r="H44" s="111"/>
      <c r="I44" s="44"/>
      <c r="J44" s="12"/>
      <c r="K44" s="13">
        <f>+J43</f>
        <v>0</v>
      </c>
      <c r="L44" s="10"/>
      <c r="M44" s="10"/>
      <c r="N44" s="10"/>
      <c r="O44" s="73"/>
      <c r="P44" s="321"/>
    </row>
    <row r="45" spans="1:16" s="97" customFormat="1" ht="15.5">
      <c r="A45" s="55" t="s">
        <v>867</v>
      </c>
      <c r="B45" s="86" t="s">
        <v>868</v>
      </c>
      <c r="C45" s="32" t="s">
        <v>93</v>
      </c>
      <c r="D45" s="150"/>
      <c r="E45" s="150"/>
      <c r="F45" s="194"/>
      <c r="G45" s="150"/>
      <c r="H45" s="67">
        <f>+Table_1[[#This Row],[Column7]]+Table_1[[#This Row],[Column6]]+Table_1[[#This Row],[Column5]]+Table_1[[#This Row],[Column4]]</f>
        <v>0</v>
      </c>
      <c r="I45" s="38">
        <v>20000</v>
      </c>
      <c r="J45" s="34">
        <f>H45*I45</f>
        <v>0</v>
      </c>
      <c r="K45" s="103"/>
      <c r="L45" s="86"/>
      <c r="M45" s="86"/>
      <c r="N45" s="86"/>
      <c r="O45" s="63"/>
    </row>
    <row r="46" spans="1:16" s="97" customFormat="1" ht="15.5">
      <c r="A46" s="55" t="s">
        <v>867</v>
      </c>
      <c r="B46" s="86" t="s">
        <v>869</v>
      </c>
      <c r="C46" s="32" t="s">
        <v>93</v>
      </c>
      <c r="D46" s="150"/>
      <c r="E46" s="150"/>
      <c r="F46" s="194"/>
      <c r="G46" s="150"/>
      <c r="H46" s="67">
        <f>+Table_1[[#This Row],[Column7]]+Table_1[[#This Row],[Column6]]+Table_1[[#This Row],[Column5]]+Table_1[[#This Row],[Column4]]</f>
        <v>0</v>
      </c>
      <c r="I46" s="38">
        <v>25000</v>
      </c>
      <c r="J46" s="34">
        <f>H46*I46</f>
        <v>0</v>
      </c>
      <c r="K46" s="103"/>
      <c r="L46" s="86"/>
      <c r="M46" s="86"/>
      <c r="N46" s="86"/>
      <c r="O46" s="63"/>
    </row>
    <row r="47" spans="1:16" ht="15.5">
      <c r="A47" s="9" t="s">
        <v>867</v>
      </c>
      <c r="B47" s="10"/>
      <c r="C47" s="10"/>
      <c r="D47" s="148"/>
      <c r="E47" s="148"/>
      <c r="F47" s="148"/>
      <c r="G47" s="148"/>
      <c r="H47" s="111"/>
      <c r="I47" s="44"/>
      <c r="J47" s="12"/>
      <c r="K47" s="13">
        <f>SUM(J45:J46)</f>
        <v>0</v>
      </c>
      <c r="L47" s="10"/>
      <c r="M47" s="10"/>
      <c r="N47" s="10"/>
      <c r="O47" s="73"/>
    </row>
    <row r="48" spans="1:16" s="97" customFormat="1" ht="15.5">
      <c r="A48" s="31" t="s">
        <v>3</v>
      </c>
      <c r="B48" s="175" t="s">
        <v>432</v>
      </c>
      <c r="C48" s="32" t="s">
        <v>93</v>
      </c>
      <c r="D48" s="138"/>
      <c r="E48" s="137"/>
      <c r="F48" s="138">
        <v>1200</v>
      </c>
      <c r="G48" s="133"/>
      <c r="H48" s="67">
        <f>+Table_1[[#This Row],[Column7]]+Table_1[[#This Row],[Column6]]+Table_1[[#This Row],[Column5]]+Table_1[[#This Row],[Column4]]</f>
        <v>1200</v>
      </c>
      <c r="I48" s="38">
        <v>15</v>
      </c>
      <c r="J48" s="34">
        <f t="shared" ref="J48:J63" si="0">H48*I48</f>
        <v>18000</v>
      </c>
      <c r="K48" s="35"/>
      <c r="L48" s="31"/>
      <c r="M48" s="31"/>
      <c r="N48" s="32"/>
      <c r="O48" s="32" t="s">
        <v>434</v>
      </c>
    </row>
    <row r="49" spans="1:16" s="97" customFormat="1" ht="15.5">
      <c r="A49" s="31" t="s">
        <v>3</v>
      </c>
      <c r="B49" s="174" t="s">
        <v>596</v>
      </c>
      <c r="C49" s="32" t="s">
        <v>94</v>
      </c>
      <c r="D49" s="133"/>
      <c r="E49" s="137"/>
      <c r="F49" s="142">
        <v>1200</v>
      </c>
      <c r="G49" s="133"/>
      <c r="H49" s="67">
        <f>+Table_1[[#This Row],[Column7]]+Table_1[[#This Row],[Column6]]+Table_1[[#This Row],[Column5]]+Table_1[[#This Row],[Column4]]</f>
        <v>1200</v>
      </c>
      <c r="I49" s="38">
        <v>400</v>
      </c>
      <c r="J49" s="34">
        <f t="shared" si="0"/>
        <v>480000</v>
      </c>
      <c r="K49" s="35"/>
      <c r="L49" s="31"/>
      <c r="M49" s="31"/>
      <c r="N49" s="32"/>
      <c r="O49" s="32" t="s">
        <v>434</v>
      </c>
      <c r="P49" s="320"/>
    </row>
    <row r="50" spans="1:16" s="287" customFormat="1" ht="15.5">
      <c r="A50" s="36" t="s">
        <v>3</v>
      </c>
      <c r="B50" s="36" t="s">
        <v>433</v>
      </c>
      <c r="C50" s="37" t="s">
        <v>93</v>
      </c>
      <c r="D50" s="142">
        <v>2500</v>
      </c>
      <c r="E50" s="213"/>
      <c r="F50" s="213"/>
      <c r="G50" s="138"/>
      <c r="H50" s="67">
        <f>+Table_1[[#This Row],[Column7]]+Table_1[[#This Row],[Column6]]+Table_1[[#This Row],[Column5]]+Table_1[[#This Row],[Column4]]</f>
        <v>2500</v>
      </c>
      <c r="I50" s="38">
        <v>30</v>
      </c>
      <c r="J50" s="39">
        <f t="shared" si="0"/>
        <v>75000</v>
      </c>
      <c r="K50" s="40"/>
      <c r="L50" s="36"/>
      <c r="M50" s="36"/>
      <c r="N50" s="37"/>
      <c r="O50" s="32" t="s">
        <v>434</v>
      </c>
      <c r="P50" s="323"/>
    </row>
    <row r="51" spans="1:16" s="287" customFormat="1" ht="15.75" customHeight="1">
      <c r="A51" s="36" t="s">
        <v>3</v>
      </c>
      <c r="B51" s="36" t="s">
        <v>101</v>
      </c>
      <c r="C51" s="37" t="s">
        <v>102</v>
      </c>
      <c r="D51" s="138">
        <v>3250</v>
      </c>
      <c r="E51" s="142"/>
      <c r="F51" s="138">
        <v>3000</v>
      </c>
      <c r="G51" s="213"/>
      <c r="H51" s="67">
        <f>+Table_1[[#This Row],[Column7]]+Table_1[[#This Row],[Column6]]+Table_1[[#This Row],[Column5]]+Table_1[[#This Row],[Column4]]</f>
        <v>6250</v>
      </c>
      <c r="I51" s="38">
        <v>300</v>
      </c>
      <c r="J51" s="39">
        <f t="shared" si="0"/>
        <v>1875000</v>
      </c>
      <c r="K51" s="40"/>
      <c r="L51" s="36"/>
      <c r="M51" s="36"/>
      <c r="N51" s="36"/>
      <c r="O51" s="32" t="s">
        <v>434</v>
      </c>
      <c r="P51" s="323"/>
    </row>
    <row r="52" spans="1:16" s="287" customFormat="1" ht="15.75" customHeight="1">
      <c r="A52" s="36" t="s">
        <v>3</v>
      </c>
      <c r="B52" s="36" t="s">
        <v>1062</v>
      </c>
      <c r="C52" s="37" t="s">
        <v>99</v>
      </c>
      <c r="D52" s="138"/>
      <c r="E52" s="213"/>
      <c r="F52" s="142">
        <v>250</v>
      </c>
      <c r="G52" s="138"/>
      <c r="H52" s="67">
        <f t="shared" ref="H52:H63" si="1">SUM(D52:G52)</f>
        <v>250</v>
      </c>
      <c r="I52" s="38">
        <v>100</v>
      </c>
      <c r="J52" s="39">
        <f t="shared" si="0"/>
        <v>25000</v>
      </c>
      <c r="K52" s="40"/>
      <c r="L52" s="36"/>
      <c r="M52" s="36"/>
      <c r="N52" s="36"/>
      <c r="O52" s="32" t="s">
        <v>434</v>
      </c>
      <c r="P52" s="323"/>
    </row>
    <row r="53" spans="1:16" s="287" customFormat="1" ht="15.75" customHeight="1">
      <c r="A53" s="36" t="s">
        <v>3</v>
      </c>
      <c r="B53" s="36" t="s">
        <v>1063</v>
      </c>
      <c r="C53" s="37" t="s">
        <v>103</v>
      </c>
      <c r="D53" s="138"/>
      <c r="E53" s="213"/>
      <c r="F53" s="142">
        <v>25</v>
      </c>
      <c r="G53" s="138"/>
      <c r="H53" s="67">
        <f t="shared" si="1"/>
        <v>25</v>
      </c>
      <c r="I53" s="38">
        <v>225</v>
      </c>
      <c r="J53" s="39">
        <f t="shared" si="0"/>
        <v>5625</v>
      </c>
      <c r="K53" s="40"/>
      <c r="L53" s="36"/>
      <c r="M53" s="36"/>
      <c r="N53" s="36"/>
      <c r="O53" s="32" t="s">
        <v>434</v>
      </c>
      <c r="P53" s="323"/>
    </row>
    <row r="54" spans="1:16" s="287" customFormat="1" ht="15.75" customHeight="1">
      <c r="A54" s="36" t="s">
        <v>3</v>
      </c>
      <c r="B54" s="36" t="s">
        <v>1064</v>
      </c>
      <c r="C54" s="37" t="s">
        <v>94</v>
      </c>
      <c r="D54" s="138"/>
      <c r="E54" s="213"/>
      <c r="F54" s="142">
        <v>150</v>
      </c>
      <c r="G54" s="138"/>
      <c r="H54" s="67">
        <f t="shared" si="1"/>
        <v>150</v>
      </c>
      <c r="I54" s="38">
        <v>200</v>
      </c>
      <c r="J54" s="39">
        <f t="shared" si="0"/>
        <v>30000</v>
      </c>
      <c r="K54" s="40"/>
      <c r="L54" s="36"/>
      <c r="M54" s="36"/>
      <c r="N54" s="36"/>
      <c r="O54" s="32" t="s">
        <v>434</v>
      </c>
      <c r="P54" s="323"/>
    </row>
    <row r="55" spans="1:16" s="287" customFormat="1" ht="15.75" customHeight="1">
      <c r="A55" s="36" t="s">
        <v>3</v>
      </c>
      <c r="B55" s="36" t="s">
        <v>1065</v>
      </c>
      <c r="C55" s="37" t="s">
        <v>98</v>
      </c>
      <c r="D55" s="138"/>
      <c r="E55" s="213"/>
      <c r="F55" s="142">
        <v>700</v>
      </c>
      <c r="G55" s="138"/>
      <c r="H55" s="67">
        <f t="shared" si="1"/>
        <v>700</v>
      </c>
      <c r="I55" s="38">
        <v>200</v>
      </c>
      <c r="J55" s="39">
        <f t="shared" si="0"/>
        <v>140000</v>
      </c>
      <c r="K55" s="40"/>
      <c r="L55" s="36"/>
      <c r="M55" s="36"/>
      <c r="N55" s="36"/>
      <c r="O55" s="32" t="s">
        <v>434</v>
      </c>
      <c r="P55" s="323"/>
    </row>
    <row r="56" spans="1:16" s="287" customFormat="1" ht="15.75" customHeight="1">
      <c r="A56" s="36" t="s">
        <v>3</v>
      </c>
      <c r="B56" s="36" t="s">
        <v>1066</v>
      </c>
      <c r="C56" s="37" t="s">
        <v>94</v>
      </c>
      <c r="D56" s="138"/>
      <c r="E56" s="213"/>
      <c r="F56" s="142">
        <v>700</v>
      </c>
      <c r="G56" s="138"/>
      <c r="H56" s="67">
        <f t="shared" si="1"/>
        <v>700</v>
      </c>
      <c r="I56" s="38">
        <v>150</v>
      </c>
      <c r="J56" s="39">
        <f t="shared" si="0"/>
        <v>105000</v>
      </c>
      <c r="K56" s="40"/>
      <c r="L56" s="36"/>
      <c r="M56" s="36"/>
      <c r="N56" s="36"/>
      <c r="O56" s="32" t="s">
        <v>434</v>
      </c>
      <c r="P56" s="323"/>
    </row>
    <row r="57" spans="1:16" s="287" customFormat="1" ht="15.75" customHeight="1">
      <c r="A57" s="36" t="s">
        <v>3</v>
      </c>
      <c r="B57" s="36" t="s">
        <v>1067</v>
      </c>
      <c r="C57" s="37" t="s">
        <v>274</v>
      </c>
      <c r="D57" s="138"/>
      <c r="E57" s="213"/>
      <c r="F57" s="142">
        <v>250</v>
      </c>
      <c r="G57" s="138"/>
      <c r="H57" s="67">
        <f t="shared" si="1"/>
        <v>250</v>
      </c>
      <c r="I57" s="38">
        <v>225</v>
      </c>
      <c r="J57" s="39">
        <f t="shared" si="0"/>
        <v>56250</v>
      </c>
      <c r="K57" s="40"/>
      <c r="L57" s="36"/>
      <c r="M57" s="36"/>
      <c r="N57" s="36"/>
      <c r="O57" s="32" t="s">
        <v>434</v>
      </c>
      <c r="P57" s="323"/>
    </row>
    <row r="58" spans="1:16" s="287" customFormat="1" ht="15.75" customHeight="1">
      <c r="A58" s="36" t="s">
        <v>3</v>
      </c>
      <c r="B58" s="36" t="s">
        <v>1068</v>
      </c>
      <c r="C58" s="37" t="s">
        <v>98</v>
      </c>
      <c r="D58" s="138"/>
      <c r="E58" s="213"/>
      <c r="F58" s="142">
        <v>1500</v>
      </c>
      <c r="G58" s="138"/>
      <c r="H58" s="67">
        <f t="shared" si="1"/>
        <v>1500</v>
      </c>
      <c r="I58" s="38">
        <v>50</v>
      </c>
      <c r="J58" s="39">
        <f t="shared" si="0"/>
        <v>75000</v>
      </c>
      <c r="K58" s="40"/>
      <c r="L58" s="36"/>
      <c r="M58" s="36"/>
      <c r="N58" s="36"/>
      <c r="O58" s="32" t="s">
        <v>434</v>
      </c>
      <c r="P58" s="323"/>
    </row>
    <row r="59" spans="1:16" s="287" customFormat="1" ht="15.75" customHeight="1">
      <c r="A59" s="36" t="s">
        <v>3</v>
      </c>
      <c r="B59" s="36" t="s">
        <v>1069</v>
      </c>
      <c r="C59" s="37" t="s">
        <v>274</v>
      </c>
      <c r="D59" s="138"/>
      <c r="E59" s="213"/>
      <c r="F59" s="142">
        <v>800</v>
      </c>
      <c r="G59" s="138"/>
      <c r="H59" s="67">
        <f t="shared" si="1"/>
        <v>800</v>
      </c>
      <c r="I59" s="38">
        <v>50</v>
      </c>
      <c r="J59" s="39">
        <f t="shared" si="0"/>
        <v>40000</v>
      </c>
      <c r="K59" s="40"/>
      <c r="L59" s="36"/>
      <c r="M59" s="36"/>
      <c r="N59" s="36"/>
      <c r="O59" s="32" t="s">
        <v>434</v>
      </c>
      <c r="P59" s="323"/>
    </row>
    <row r="60" spans="1:16" s="418" customFormat="1" ht="15.5">
      <c r="A60" s="126" t="s">
        <v>3</v>
      </c>
      <c r="B60" s="126" t="s">
        <v>275</v>
      </c>
      <c r="C60" s="420" t="s">
        <v>98</v>
      </c>
      <c r="D60" s="523">
        <v>700</v>
      </c>
      <c r="E60" s="416"/>
      <c r="F60" s="523">
        <v>750</v>
      </c>
      <c r="G60" s="442"/>
      <c r="H60" s="410">
        <f>+Table_1[[#This Row],[Column7]]+Table_1[[#This Row],[Column6]]+Table_1[[#This Row],[Column5]]+Table_1[[#This Row],[Column4]]</f>
        <v>1450</v>
      </c>
      <c r="I60" s="274">
        <v>55</v>
      </c>
      <c r="J60" s="422">
        <f>'PACC GENERAL 2026'!$I60*'PACC GENERAL 2026'!$H60</f>
        <v>79750</v>
      </c>
      <c r="K60" s="423"/>
      <c r="L60" s="126"/>
      <c r="M60" s="126"/>
      <c r="N60" s="420"/>
      <c r="O60" s="420" t="s">
        <v>1101</v>
      </c>
    </row>
    <row r="61" spans="1:16" s="287" customFormat="1" ht="15.75" customHeight="1">
      <c r="A61" s="36" t="s">
        <v>3</v>
      </c>
      <c r="B61" s="36" t="s">
        <v>1070</v>
      </c>
      <c r="C61" s="37" t="s">
        <v>94</v>
      </c>
      <c r="D61" s="138"/>
      <c r="E61" s="213"/>
      <c r="F61" s="142">
        <v>500</v>
      </c>
      <c r="G61" s="138"/>
      <c r="H61" s="67">
        <f t="shared" si="1"/>
        <v>500</v>
      </c>
      <c r="I61" s="38">
        <v>290</v>
      </c>
      <c r="J61" s="39">
        <f t="shared" si="0"/>
        <v>145000</v>
      </c>
      <c r="K61" s="40"/>
      <c r="L61" s="36"/>
      <c r="M61" s="36"/>
      <c r="N61" s="36"/>
      <c r="O61" s="32" t="s">
        <v>434</v>
      </c>
      <c r="P61" s="323"/>
    </row>
    <row r="62" spans="1:16" s="287" customFormat="1" ht="15.75" customHeight="1">
      <c r="A62" s="36" t="s">
        <v>3</v>
      </c>
      <c r="B62" s="36" t="s">
        <v>1071</v>
      </c>
      <c r="C62" s="37" t="s">
        <v>94</v>
      </c>
      <c r="D62" s="138"/>
      <c r="E62" s="213"/>
      <c r="F62" s="142">
        <v>400</v>
      </c>
      <c r="G62" s="138"/>
      <c r="H62" s="67">
        <f t="shared" si="1"/>
        <v>400</v>
      </c>
      <c r="I62" s="38">
        <v>190</v>
      </c>
      <c r="J62" s="39">
        <f t="shared" si="0"/>
        <v>76000</v>
      </c>
      <c r="K62" s="40"/>
      <c r="L62" s="36"/>
      <c r="M62" s="36"/>
      <c r="N62" s="36"/>
      <c r="O62" s="32" t="s">
        <v>434</v>
      </c>
      <c r="P62" s="323"/>
    </row>
    <row r="63" spans="1:16" s="287" customFormat="1" ht="15.75" customHeight="1">
      <c r="A63" s="36" t="s">
        <v>3</v>
      </c>
      <c r="B63" s="36" t="s">
        <v>1072</v>
      </c>
      <c r="C63" s="37" t="s">
        <v>94</v>
      </c>
      <c r="D63" s="138"/>
      <c r="E63" s="213"/>
      <c r="F63" s="142">
        <v>500</v>
      </c>
      <c r="G63" s="138"/>
      <c r="H63" s="67">
        <f t="shared" si="1"/>
        <v>500</v>
      </c>
      <c r="I63" s="38">
        <v>350</v>
      </c>
      <c r="J63" s="39">
        <f t="shared" si="0"/>
        <v>175000</v>
      </c>
      <c r="K63" s="40"/>
      <c r="L63" s="36"/>
      <c r="M63" s="36"/>
      <c r="N63" s="36"/>
      <c r="O63" s="32" t="s">
        <v>434</v>
      </c>
      <c r="P63" s="323"/>
    </row>
    <row r="64" spans="1:16" ht="15.5">
      <c r="A64" s="9" t="s">
        <v>3</v>
      </c>
      <c r="B64" s="10"/>
      <c r="C64" s="10"/>
      <c r="D64" s="148"/>
      <c r="E64" s="148"/>
      <c r="F64" s="148"/>
      <c r="G64" s="148"/>
      <c r="H64" s="111"/>
      <c r="I64" s="44"/>
      <c r="J64" s="12"/>
      <c r="K64" s="13">
        <f>SUM(J48:J63)</f>
        <v>3400625</v>
      </c>
      <c r="L64" s="10"/>
      <c r="M64" s="10"/>
      <c r="N64" s="10"/>
      <c r="O64" s="73"/>
    </row>
    <row r="65" spans="1:16" s="287" customFormat="1" ht="15.75" customHeight="1">
      <c r="A65" s="36" t="s">
        <v>1392</v>
      </c>
      <c r="B65" s="36" t="s">
        <v>100</v>
      </c>
      <c r="C65" s="37" t="s">
        <v>99</v>
      </c>
      <c r="D65" s="138">
        <v>4500</v>
      </c>
      <c r="E65" s="142"/>
      <c r="F65" s="138">
        <v>4500</v>
      </c>
      <c r="G65" s="138"/>
      <c r="H65" s="67">
        <f t="shared" ref="H65" si="2">SUM(D65:G65)</f>
        <v>9000</v>
      </c>
      <c r="I65" s="38">
        <v>225</v>
      </c>
      <c r="J65" s="39">
        <f t="shared" ref="J65" si="3">H65*I65</f>
        <v>2025000</v>
      </c>
      <c r="K65" s="40"/>
      <c r="L65" s="36"/>
      <c r="M65" s="36"/>
      <c r="N65" s="36"/>
      <c r="O65" s="32" t="s">
        <v>434</v>
      </c>
      <c r="P65" s="323"/>
    </row>
    <row r="66" spans="1:16" s="287" customFormat="1" ht="15.75" customHeight="1">
      <c r="A66" s="36" t="s">
        <v>1392</v>
      </c>
      <c r="B66" s="36" t="s">
        <v>842</v>
      </c>
      <c r="C66" s="37" t="s">
        <v>94</v>
      </c>
      <c r="D66" s="138">
        <v>5500</v>
      </c>
      <c r="E66" s="142"/>
      <c r="F66" s="138">
        <v>5500</v>
      </c>
      <c r="G66" s="138"/>
      <c r="H66" s="67">
        <f t="shared" ref="H66" si="4">SUM(D66:G66)</f>
        <v>11000</v>
      </c>
      <c r="I66" s="38">
        <v>150</v>
      </c>
      <c r="J66" s="39">
        <f t="shared" ref="J66" si="5">H66*I66</f>
        <v>1650000</v>
      </c>
      <c r="K66" s="40"/>
      <c r="L66" s="36"/>
      <c r="M66" s="36"/>
      <c r="N66" s="36"/>
      <c r="O66" s="32" t="s">
        <v>434</v>
      </c>
      <c r="P66" s="323"/>
    </row>
    <row r="67" spans="1:16" ht="15.5">
      <c r="A67" s="9" t="s">
        <v>1392</v>
      </c>
      <c r="B67" s="10"/>
      <c r="C67" s="10"/>
      <c r="D67" s="148"/>
      <c r="E67" s="148"/>
      <c r="F67" s="148"/>
      <c r="G67" s="148"/>
      <c r="H67" s="111"/>
      <c r="I67" s="44"/>
      <c r="J67" s="12"/>
      <c r="K67" s="13">
        <f>SUM(J65:J66)</f>
        <v>3675000</v>
      </c>
      <c r="L67" s="10"/>
      <c r="M67" s="10"/>
      <c r="N67" s="10"/>
      <c r="O67" s="73"/>
    </row>
    <row r="68" spans="1:16" s="97" customFormat="1" ht="15.5">
      <c r="A68" s="31" t="s">
        <v>631</v>
      </c>
      <c r="B68" s="31" t="s">
        <v>251</v>
      </c>
      <c r="C68" s="32" t="s">
        <v>94</v>
      </c>
      <c r="D68" s="133"/>
      <c r="E68" s="133"/>
      <c r="F68" s="133"/>
      <c r="G68" s="133"/>
      <c r="H68" s="67">
        <f>+Table_1[[#This Row],[Column7]]+Table_1[[#This Row],[Column6]]+Table_1[[#This Row],[Column5]]+Table_1[[#This Row],[Column4]]</f>
        <v>0</v>
      </c>
      <c r="I68" s="38">
        <v>245</v>
      </c>
      <c r="J68" s="34">
        <f>+'PACC GENERAL 2026'!$H68*'PACC GENERAL 2026'!$I68</f>
        <v>0</v>
      </c>
      <c r="K68" s="35"/>
      <c r="L68" s="32"/>
      <c r="M68" s="86"/>
      <c r="N68" s="86"/>
      <c r="O68" s="63"/>
      <c r="P68" s="320"/>
    </row>
    <row r="69" spans="1:16" ht="15.5">
      <c r="A69" s="9" t="s">
        <v>631</v>
      </c>
      <c r="B69" s="10"/>
      <c r="C69" s="10"/>
      <c r="D69" s="148"/>
      <c r="E69" s="148"/>
      <c r="F69" s="148"/>
      <c r="G69" s="148"/>
      <c r="H69" s="111"/>
      <c r="I69" s="44"/>
      <c r="J69" s="12"/>
      <c r="K69" s="13">
        <f>+J68</f>
        <v>0</v>
      </c>
      <c r="L69" s="73"/>
      <c r="M69" s="10"/>
      <c r="N69" s="10"/>
      <c r="O69" s="73"/>
      <c r="P69" s="321"/>
    </row>
    <row r="70" spans="1:16" s="97" customFormat="1" ht="15.5">
      <c r="A70" s="31" t="s">
        <v>627</v>
      </c>
      <c r="B70" s="31" t="s">
        <v>240</v>
      </c>
      <c r="C70" s="32" t="s">
        <v>138</v>
      </c>
      <c r="D70" s="133"/>
      <c r="E70" s="137"/>
      <c r="F70" s="133"/>
      <c r="G70" s="133"/>
      <c r="H70" s="67">
        <f>+Table_1[[#This Row],[Column7]]+Table_1[[#This Row],[Column6]]+Table_1[[#This Row],[Column5]]+Table_1[[#This Row],[Column4]]</f>
        <v>0</v>
      </c>
      <c r="I70" s="38">
        <v>700</v>
      </c>
      <c r="J70" s="34">
        <f>'PACC GENERAL 2026'!$I70*'PACC GENERAL 2026'!$H70</f>
        <v>0</v>
      </c>
      <c r="K70" s="35"/>
      <c r="L70" s="32"/>
      <c r="M70" s="86"/>
      <c r="N70" s="86"/>
      <c r="O70" s="63"/>
      <c r="P70" s="320"/>
    </row>
    <row r="71" spans="1:16" ht="15.5">
      <c r="A71" s="9" t="s">
        <v>627</v>
      </c>
      <c r="B71" s="10"/>
      <c r="C71" s="10"/>
      <c r="D71" s="148"/>
      <c r="E71" s="148"/>
      <c r="F71" s="148"/>
      <c r="G71" s="148"/>
      <c r="H71" s="111"/>
      <c r="I71" s="44"/>
      <c r="J71" s="12"/>
      <c r="K71" s="13">
        <f>+J70</f>
        <v>0</v>
      </c>
      <c r="L71" s="73"/>
      <c r="M71" s="10"/>
      <c r="N71" s="10"/>
      <c r="O71" s="73"/>
      <c r="P71" s="321"/>
    </row>
    <row r="72" spans="1:16" s="287" customFormat="1" ht="22.5" customHeight="1">
      <c r="A72" s="36" t="s">
        <v>872</v>
      </c>
      <c r="B72" s="211" t="s">
        <v>846</v>
      </c>
      <c r="C72" s="37" t="s">
        <v>94</v>
      </c>
      <c r="D72" s="213"/>
      <c r="E72" s="138"/>
      <c r="F72" s="213"/>
      <c r="G72" s="163"/>
      <c r="H72" s="67">
        <f>+Table_1[[#This Row],[Column7]]+Table_1[[#This Row],[Column6]]+Table_1[[#This Row],[Column5]]+Table_1[[#This Row],[Column4]]</f>
        <v>0</v>
      </c>
      <c r="I72" s="132">
        <v>5</v>
      </c>
      <c r="J72" s="39">
        <f>'PACC GENERAL 2026'!$I72*'PACC GENERAL 2026'!$H72</f>
        <v>0</v>
      </c>
      <c r="K72" s="40"/>
      <c r="L72" s="40"/>
      <c r="M72" s="40"/>
      <c r="N72" s="40"/>
      <c r="O72" s="212"/>
      <c r="P72" s="323"/>
    </row>
    <row r="73" spans="1:16" s="325" customFormat="1" ht="15.5">
      <c r="A73" s="9" t="s">
        <v>872</v>
      </c>
      <c r="B73" s="10"/>
      <c r="C73" s="10"/>
      <c r="D73" s="148"/>
      <c r="E73" s="148"/>
      <c r="F73" s="148"/>
      <c r="G73" s="148"/>
      <c r="H73" s="111"/>
      <c r="I73" s="44"/>
      <c r="J73" s="12"/>
      <c r="K73" s="13">
        <f>+J72</f>
        <v>0</v>
      </c>
      <c r="L73" s="73"/>
      <c r="M73" s="356"/>
      <c r="N73" s="356"/>
      <c r="O73" s="356"/>
      <c r="P73" s="278"/>
    </row>
    <row r="74" spans="1:16" s="97" customFormat="1" ht="15.5">
      <c r="A74" s="31" t="s">
        <v>4</v>
      </c>
      <c r="B74" s="31" t="s">
        <v>743</v>
      </c>
      <c r="C74" s="32" t="s">
        <v>94</v>
      </c>
      <c r="D74" s="133"/>
      <c r="E74" s="133">
        <v>6</v>
      </c>
      <c r="F74" s="133"/>
      <c r="G74" s="167"/>
      <c r="H74" s="67">
        <f>+Table_1[[#This Row],[Column7]]+Table_1[[#This Row],[Column6]]+Table_1[[#This Row],[Column5]]+Table_1[[#This Row],[Column4]]</f>
        <v>6</v>
      </c>
      <c r="I74" s="38">
        <v>728.65</v>
      </c>
      <c r="J74" s="201">
        <f>'PACC GENERAL 2026'!$I74*'PACC GENERAL 2026'!$H74</f>
        <v>4371.8999999999996</v>
      </c>
      <c r="K74" s="35"/>
      <c r="L74" s="31"/>
      <c r="M74" s="31"/>
      <c r="N74" s="32"/>
      <c r="O74" s="32" t="s">
        <v>975</v>
      </c>
      <c r="P74" s="320"/>
    </row>
    <row r="75" spans="1:16" s="97" customFormat="1" ht="15.5">
      <c r="A75" s="31" t="s">
        <v>4</v>
      </c>
      <c r="B75" s="31" t="s">
        <v>1519</v>
      </c>
      <c r="C75" s="32" t="s">
        <v>94</v>
      </c>
      <c r="D75" s="133"/>
      <c r="E75" s="133"/>
      <c r="F75" s="133">
        <v>5</v>
      </c>
      <c r="G75" s="167"/>
      <c r="H75" s="67">
        <f>+Table_1[[#This Row],[Column7]]+Table_1[[#This Row],[Column6]]+Table_1[[#This Row],[Column5]]+Table_1[[#This Row],[Column4]]</f>
        <v>5</v>
      </c>
      <c r="I75" s="38">
        <v>1100</v>
      </c>
      <c r="J75" s="201">
        <f>'PACC GENERAL 2026'!$I75*'PACC GENERAL 2026'!$H75</f>
        <v>5500</v>
      </c>
      <c r="K75" s="35"/>
      <c r="L75" s="31"/>
      <c r="M75" s="31"/>
      <c r="N75" s="32"/>
      <c r="O75" s="32" t="s">
        <v>434</v>
      </c>
      <c r="P75" s="320"/>
    </row>
    <row r="76" spans="1:16" s="97" customFormat="1" ht="15.5">
      <c r="A76" s="31" t="s">
        <v>4</v>
      </c>
      <c r="B76" s="31" t="s">
        <v>1520</v>
      </c>
      <c r="C76" s="32" t="s">
        <v>844</v>
      </c>
      <c r="D76" s="133"/>
      <c r="E76" s="133"/>
      <c r="F76" s="133">
        <v>10</v>
      </c>
      <c r="G76" s="167"/>
      <c r="H76" s="67">
        <f>+Table_1[[#This Row],[Column7]]+Table_1[[#This Row],[Column6]]+Table_1[[#This Row],[Column5]]+Table_1[[#This Row],[Column4]]</f>
        <v>10</v>
      </c>
      <c r="I76" s="38">
        <v>75000</v>
      </c>
      <c r="J76" s="201">
        <f>'PACC GENERAL 2026'!$I76*'PACC GENERAL 2026'!$H76</f>
        <v>750000</v>
      </c>
      <c r="K76" s="35"/>
      <c r="L76" s="31"/>
      <c r="M76" s="31"/>
      <c r="N76" s="32"/>
      <c r="O76" s="32" t="s">
        <v>434</v>
      </c>
      <c r="P76" s="320"/>
    </row>
    <row r="77" spans="1:16" s="97" customFormat="1" ht="15.5">
      <c r="A77" s="31" t="s">
        <v>4</v>
      </c>
      <c r="B77" s="31" t="s">
        <v>1521</v>
      </c>
      <c r="C77" s="32" t="s">
        <v>844</v>
      </c>
      <c r="D77" s="133"/>
      <c r="E77" s="133"/>
      <c r="F77" s="133">
        <v>25</v>
      </c>
      <c r="G77" s="167"/>
      <c r="H77" s="67">
        <f>+Table_1[[#This Row],[Column7]]+Table_1[[#This Row],[Column6]]+Table_1[[#This Row],[Column5]]+Table_1[[#This Row],[Column4]]</f>
        <v>25</v>
      </c>
      <c r="I77" s="38">
        <v>70000</v>
      </c>
      <c r="J77" s="201">
        <f>'PACC GENERAL 2026'!$I77*'PACC GENERAL 2026'!$H77</f>
        <v>1750000</v>
      </c>
      <c r="K77" s="35"/>
      <c r="L77" s="31"/>
      <c r="M77" s="31"/>
      <c r="N77" s="32"/>
      <c r="O77" s="32" t="s">
        <v>434</v>
      </c>
      <c r="P77" s="320"/>
    </row>
    <row r="78" spans="1:16" s="97" customFormat="1" ht="15.5">
      <c r="A78" s="31" t="s">
        <v>4</v>
      </c>
      <c r="B78" s="31" t="s">
        <v>1522</v>
      </c>
      <c r="C78" s="32" t="s">
        <v>94</v>
      </c>
      <c r="D78" s="133"/>
      <c r="E78" s="133"/>
      <c r="F78" s="133">
        <v>7</v>
      </c>
      <c r="G78" s="167"/>
      <c r="H78" s="67">
        <f>+Table_1[[#This Row],[Column7]]+Table_1[[#This Row],[Column6]]+Table_1[[#This Row],[Column5]]+Table_1[[#This Row],[Column4]]</f>
        <v>7</v>
      </c>
      <c r="I78" s="38">
        <v>728.65</v>
      </c>
      <c r="J78" s="201">
        <f>'PACC GENERAL 2026'!$I78*'PACC GENERAL 2026'!$H78</f>
        <v>5100.55</v>
      </c>
      <c r="K78" s="35"/>
      <c r="L78" s="31"/>
      <c r="M78" s="31"/>
      <c r="N78" s="32"/>
      <c r="O78" s="32" t="s">
        <v>434</v>
      </c>
      <c r="P78" s="320"/>
    </row>
    <row r="79" spans="1:16" s="97" customFormat="1" ht="15.5">
      <c r="A79" s="31" t="s">
        <v>4</v>
      </c>
      <c r="B79" s="31" t="s">
        <v>761</v>
      </c>
      <c r="C79" s="32" t="s">
        <v>94</v>
      </c>
      <c r="D79" s="133"/>
      <c r="E79" s="133"/>
      <c r="F79" s="133"/>
      <c r="G79" s="167"/>
      <c r="H79" s="67">
        <f>+Table_1[[#This Row],[Column7]]+Table_1[[#This Row],[Column6]]+Table_1[[#This Row],[Column5]]+Table_1[[#This Row],[Column4]]</f>
        <v>0</v>
      </c>
      <c r="I79" s="38">
        <v>380</v>
      </c>
      <c r="J79" s="34">
        <f>+'PACC GENERAL 2026'!$H79*'PACC GENERAL 2026'!$I79</f>
        <v>0</v>
      </c>
      <c r="K79" s="35"/>
      <c r="L79" s="31"/>
      <c r="M79" s="31"/>
      <c r="N79" s="32"/>
      <c r="O79" s="32" t="s">
        <v>434</v>
      </c>
    </row>
    <row r="80" spans="1:16" ht="15.75" customHeight="1">
      <c r="A80" s="9" t="s">
        <v>4</v>
      </c>
      <c r="B80" s="10"/>
      <c r="C80" s="10"/>
      <c r="D80" s="148"/>
      <c r="E80" s="148"/>
      <c r="F80" s="148"/>
      <c r="G80" s="148"/>
      <c r="H80" s="111"/>
      <c r="I80" s="44"/>
      <c r="J80" s="12"/>
      <c r="K80" s="13">
        <f>SUM(J74:J79)</f>
        <v>2514972.4499999997</v>
      </c>
      <c r="L80" s="73"/>
      <c r="M80" s="356"/>
      <c r="N80" s="356"/>
      <c r="O80" s="356"/>
    </row>
    <row r="81" spans="1:16" s="97" customFormat="1" ht="15.75" customHeight="1">
      <c r="A81" s="66" t="s">
        <v>5</v>
      </c>
      <c r="B81" s="66" t="s">
        <v>105</v>
      </c>
      <c r="C81" s="32" t="s">
        <v>106</v>
      </c>
      <c r="D81" s="133"/>
      <c r="E81" s="133">
        <v>402500</v>
      </c>
      <c r="F81" s="133"/>
      <c r="G81" s="133"/>
      <c r="H81" s="67">
        <f>+Table_1[[#This Row],[Column7]]+Table_1[[#This Row],[Column6]]+Table_1[[#This Row],[Column5]]+Table_1[[#This Row],[Column4]]</f>
        <v>402500</v>
      </c>
      <c r="I81" s="38">
        <v>300</v>
      </c>
      <c r="J81" s="34">
        <f t="shared" ref="J81:J85" si="6">H81*I81</f>
        <v>120750000</v>
      </c>
      <c r="K81" s="35"/>
      <c r="L81" s="31"/>
      <c r="M81" s="31"/>
      <c r="N81" s="32"/>
      <c r="O81" s="32" t="s">
        <v>434</v>
      </c>
      <c r="P81" s="320"/>
    </row>
    <row r="82" spans="1:16" s="97" customFormat="1" ht="15.75" customHeight="1">
      <c r="A82" s="66" t="s">
        <v>5</v>
      </c>
      <c r="B82" s="66" t="s">
        <v>107</v>
      </c>
      <c r="C82" s="32" t="s">
        <v>106</v>
      </c>
      <c r="D82" s="133"/>
      <c r="E82" s="133">
        <v>10000</v>
      </c>
      <c r="F82" s="133"/>
      <c r="G82" s="133"/>
      <c r="H82" s="67">
        <f>+Table_1[[#This Row],[Column7]]+Table_1[[#This Row],[Column6]]+Table_1[[#This Row],[Column5]]+Table_1[[#This Row],[Column4]]</f>
        <v>10000</v>
      </c>
      <c r="I82" s="38">
        <v>325</v>
      </c>
      <c r="J82" s="34">
        <f t="shared" si="6"/>
        <v>3250000</v>
      </c>
      <c r="K82" s="35"/>
      <c r="L82" s="31"/>
      <c r="M82" s="31"/>
      <c r="N82" s="32"/>
      <c r="O82" s="32" t="s">
        <v>434</v>
      </c>
    </row>
    <row r="83" spans="1:16" s="97" customFormat="1" ht="15.75" customHeight="1">
      <c r="A83" s="66" t="s">
        <v>5</v>
      </c>
      <c r="B83" s="31" t="s">
        <v>108</v>
      </c>
      <c r="C83" s="32" t="s">
        <v>94</v>
      </c>
      <c r="D83" s="133"/>
      <c r="E83" s="133">
        <v>20000</v>
      </c>
      <c r="F83" s="133"/>
      <c r="G83" s="133"/>
      <c r="H83" s="67">
        <f>+Table_1[[#This Row],[Column7]]+Table_1[[#This Row],[Column6]]+Table_1[[#This Row],[Column5]]+Table_1[[#This Row],[Column4]]</f>
        <v>20000</v>
      </c>
      <c r="I83" s="38">
        <v>500</v>
      </c>
      <c r="J83" s="34">
        <f t="shared" si="6"/>
        <v>10000000</v>
      </c>
      <c r="K83" s="35"/>
      <c r="L83" s="31"/>
      <c r="M83" s="31"/>
      <c r="N83" s="32"/>
      <c r="O83" s="32" t="s">
        <v>434</v>
      </c>
      <c r="P83" s="320"/>
    </row>
    <row r="84" spans="1:16" s="97" customFormat="1" ht="20.5" customHeight="1">
      <c r="A84" s="31" t="s">
        <v>5</v>
      </c>
      <c r="B84" s="31" t="s">
        <v>1073</v>
      </c>
      <c r="C84" s="32" t="s">
        <v>94</v>
      </c>
      <c r="D84" s="133"/>
      <c r="E84" s="133">
        <v>5000</v>
      </c>
      <c r="F84" s="133"/>
      <c r="G84" s="133"/>
      <c r="H84" s="67">
        <f>+Table_1[[#This Row],[Column7]]+Table_1[[#This Row],[Column6]]+Table_1[[#This Row],[Column5]]+Table_1[[#This Row],[Column4]]</f>
        <v>5000</v>
      </c>
      <c r="I84" s="38">
        <v>1000</v>
      </c>
      <c r="J84" s="34">
        <f t="shared" si="6"/>
        <v>5000000</v>
      </c>
      <c r="K84" s="35"/>
      <c r="L84" s="31"/>
      <c r="M84" s="31"/>
      <c r="N84" s="32"/>
      <c r="O84" s="32" t="s">
        <v>434</v>
      </c>
    </row>
    <row r="85" spans="1:16" s="97" customFormat="1" ht="20.5" customHeight="1">
      <c r="A85" s="31" t="s">
        <v>5</v>
      </c>
      <c r="B85" s="31" t="s">
        <v>109</v>
      </c>
      <c r="C85" s="32" t="s">
        <v>94</v>
      </c>
      <c r="D85" s="133"/>
      <c r="E85" s="133">
        <v>100000</v>
      </c>
      <c r="F85" s="133"/>
      <c r="G85" s="133"/>
      <c r="H85" s="67">
        <f>+Table_1[[#This Row],[Column7]]+Table_1[[#This Row],[Column6]]+Table_1[[#This Row],[Column5]]+Table_1[[#This Row],[Column4]]</f>
        <v>100000</v>
      </c>
      <c r="I85" s="38">
        <v>100</v>
      </c>
      <c r="J85" s="34">
        <f t="shared" si="6"/>
        <v>10000000</v>
      </c>
      <c r="K85" s="35"/>
      <c r="L85" s="31"/>
      <c r="M85" s="31"/>
      <c r="N85" s="32"/>
      <c r="O85" s="32" t="s">
        <v>434</v>
      </c>
    </row>
    <row r="86" spans="1:16" ht="15.75" customHeight="1">
      <c r="A86" s="9" t="s">
        <v>5</v>
      </c>
      <c r="B86" s="10"/>
      <c r="C86" s="10"/>
      <c r="D86" s="148"/>
      <c r="E86" s="148"/>
      <c r="F86" s="148"/>
      <c r="G86" s="148"/>
      <c r="H86" s="111"/>
      <c r="I86" s="44"/>
      <c r="J86" s="12"/>
      <c r="K86" s="13">
        <f>SUM(J81:J85)</f>
        <v>149000000</v>
      </c>
      <c r="L86" s="10"/>
      <c r="M86" s="10"/>
      <c r="N86" s="10"/>
      <c r="O86" s="73"/>
    </row>
    <row r="87" spans="1:16" s="97" customFormat="1" ht="38.5" customHeight="1">
      <c r="A87" s="86" t="s">
        <v>1074</v>
      </c>
      <c r="B87" s="86" t="s">
        <v>111</v>
      </c>
      <c r="C87" s="86" t="s">
        <v>94</v>
      </c>
      <c r="D87" s="133">
        <v>2</v>
      </c>
      <c r="E87" s="133">
        <f>20+50</f>
        <v>70</v>
      </c>
      <c r="F87" s="150"/>
      <c r="G87" s="150"/>
      <c r="H87" s="67">
        <f t="shared" ref="H87:H88" si="7">SUM(D87:G87)</f>
        <v>72</v>
      </c>
      <c r="I87" s="38">
        <v>34222.222199999997</v>
      </c>
      <c r="J87" s="230">
        <f t="shared" ref="J87:J88" si="8">H87*I87</f>
        <v>2463999.9983999999</v>
      </c>
      <c r="K87" s="103"/>
      <c r="L87" s="86"/>
      <c r="M87" s="86"/>
      <c r="N87" s="86"/>
      <c r="O87" s="63" t="s">
        <v>1387</v>
      </c>
      <c r="P87" s="320"/>
    </row>
    <row r="88" spans="1:16" s="97" customFormat="1" ht="15.75" customHeight="1">
      <c r="A88" s="86" t="s">
        <v>1074</v>
      </c>
      <c r="B88" s="86" t="s">
        <v>1075</v>
      </c>
      <c r="C88" s="86" t="s">
        <v>94</v>
      </c>
      <c r="D88" s="150"/>
      <c r="E88" s="133">
        <v>20</v>
      </c>
      <c r="F88" s="150"/>
      <c r="G88" s="150"/>
      <c r="H88" s="67">
        <f t="shared" si="7"/>
        <v>20</v>
      </c>
      <c r="I88" s="38">
        <v>30000</v>
      </c>
      <c r="J88" s="230">
        <f t="shared" si="8"/>
        <v>600000</v>
      </c>
      <c r="K88" s="103"/>
      <c r="L88" s="86"/>
      <c r="M88" s="86"/>
      <c r="N88" s="86"/>
      <c r="O88" s="63" t="s">
        <v>434</v>
      </c>
      <c r="P88" s="320"/>
    </row>
    <row r="89" spans="1:16" ht="15.75" customHeight="1">
      <c r="A89" s="9" t="s">
        <v>1074</v>
      </c>
      <c r="B89" s="10"/>
      <c r="C89" s="10"/>
      <c r="D89" s="148"/>
      <c r="E89" s="148"/>
      <c r="F89" s="148"/>
      <c r="G89" s="148"/>
      <c r="H89" s="111"/>
      <c r="I89" s="44"/>
      <c r="J89" s="12"/>
      <c r="K89" s="13">
        <f>SUM(J87:J88)</f>
        <v>3063999.9983999999</v>
      </c>
      <c r="L89" s="10"/>
      <c r="M89" s="10"/>
      <c r="N89" s="10"/>
      <c r="O89" s="73"/>
      <c r="P89" s="321"/>
    </row>
    <row r="90" spans="1:16" s="97" customFormat="1" ht="35.15" customHeight="1">
      <c r="A90" s="48" t="s">
        <v>6</v>
      </c>
      <c r="B90" s="48" t="s">
        <v>827</v>
      </c>
      <c r="C90" s="63" t="s">
        <v>94</v>
      </c>
      <c r="D90" s="155">
        <v>3</v>
      </c>
      <c r="E90" s="155">
        <f>10+2</f>
        <v>12</v>
      </c>
      <c r="F90" s="155"/>
      <c r="G90" s="155"/>
      <c r="H90" s="67">
        <f>+Table_1[[#This Row],[Column7]]+Table_1[[#This Row],[Column6]]+Table_1[[#This Row],[Column5]]+Table_1[[#This Row],[Column4]]</f>
        <v>15</v>
      </c>
      <c r="I90" s="77">
        <v>64000</v>
      </c>
      <c r="J90" s="201">
        <f>'PACC GENERAL 2026'!$I90*'PACC GENERAL 2026'!$H90</f>
        <v>960000</v>
      </c>
      <c r="K90" s="103"/>
      <c r="L90" s="86"/>
      <c r="M90" s="86"/>
      <c r="N90" s="86"/>
      <c r="O90" s="63" t="s">
        <v>1385</v>
      </c>
      <c r="P90" s="320"/>
    </row>
    <row r="91" spans="1:16" s="97" customFormat="1" ht="35.15" customHeight="1">
      <c r="A91" s="48" t="s">
        <v>6</v>
      </c>
      <c r="B91" s="48" t="s">
        <v>110</v>
      </c>
      <c r="C91" s="63" t="s">
        <v>94</v>
      </c>
      <c r="D91" s="155">
        <v>2</v>
      </c>
      <c r="E91" s="155">
        <f>10+2</f>
        <v>12</v>
      </c>
      <c r="F91" s="155"/>
      <c r="G91" s="155"/>
      <c r="H91" s="67">
        <f>+Table_1[[#This Row],[Column7]]+Table_1[[#This Row],[Column6]]+Table_1[[#This Row],[Column5]]+Table_1[[#This Row],[Column4]]</f>
        <v>14</v>
      </c>
      <c r="I91" s="77">
        <v>235000</v>
      </c>
      <c r="J91" s="201">
        <f>'PACC GENERAL 2026'!$I91*'PACC GENERAL 2026'!$H91</f>
        <v>3290000</v>
      </c>
      <c r="K91" s="103"/>
      <c r="L91" s="86"/>
      <c r="M91" s="86"/>
      <c r="N91" s="86"/>
      <c r="O91" s="63" t="s">
        <v>1386</v>
      </c>
      <c r="P91" s="320"/>
    </row>
    <row r="92" spans="1:16" ht="15.75" customHeight="1">
      <c r="A92" s="9" t="s">
        <v>6</v>
      </c>
      <c r="B92" s="10"/>
      <c r="C92" s="10"/>
      <c r="D92" s="148"/>
      <c r="E92" s="148"/>
      <c r="F92" s="148"/>
      <c r="G92" s="148"/>
      <c r="H92" s="111"/>
      <c r="I92" s="44"/>
      <c r="J92" s="12"/>
      <c r="K92" s="13">
        <f>SUM(J90:J91)</f>
        <v>4250000</v>
      </c>
      <c r="L92" s="10"/>
      <c r="M92" s="10"/>
      <c r="N92" s="10"/>
      <c r="O92" s="73"/>
    </row>
    <row r="93" spans="1:16" s="287" customFormat="1" ht="22" customHeight="1">
      <c r="A93" s="36" t="s">
        <v>7</v>
      </c>
      <c r="B93" s="36" t="s">
        <v>764</v>
      </c>
      <c r="C93" s="37" t="s">
        <v>94</v>
      </c>
      <c r="D93" s="138"/>
      <c r="E93" s="138">
        <f>30+2</f>
        <v>32</v>
      </c>
      <c r="F93" s="138"/>
      <c r="G93" s="138"/>
      <c r="H93" s="110">
        <f>+Table_1[[#This Row],[Column7]]+Table_1[[#This Row],[Column6]]+Table_1[[#This Row],[Column5]]+Table_1[[#This Row],[Column4]]</f>
        <v>32</v>
      </c>
      <c r="I93" s="38">
        <v>3200</v>
      </c>
      <c r="J93" s="39">
        <f>'PACC GENERAL 2026'!$I93*'PACC GENERAL 2026'!$H93</f>
        <v>102400</v>
      </c>
      <c r="K93" s="40"/>
      <c r="L93" s="36"/>
      <c r="M93" s="36"/>
      <c r="N93" s="36"/>
      <c r="O93" s="37" t="s">
        <v>1474</v>
      </c>
      <c r="P93" s="323"/>
    </row>
    <row r="94" spans="1:16" s="287" customFormat="1" ht="24" customHeight="1">
      <c r="A94" s="36" t="s">
        <v>7</v>
      </c>
      <c r="B94" s="36" t="s">
        <v>112</v>
      </c>
      <c r="C94" s="37" t="s">
        <v>94</v>
      </c>
      <c r="D94" s="138"/>
      <c r="E94" s="138">
        <f>30+2</f>
        <v>32</v>
      </c>
      <c r="F94" s="138"/>
      <c r="G94" s="138"/>
      <c r="H94" s="110">
        <f>+Table_1[[#This Row],[Column7]]+Table_1[[#This Row],[Column6]]+Table_1[[#This Row],[Column5]]+Table_1[[#This Row],[Column4]]</f>
        <v>32</v>
      </c>
      <c r="I94" s="38">
        <v>18000</v>
      </c>
      <c r="J94" s="39">
        <f>'PACC GENERAL 2026'!$I94*'PACC GENERAL 2026'!$H94</f>
        <v>576000</v>
      </c>
      <c r="K94" s="40"/>
      <c r="L94" s="36"/>
      <c r="M94" s="36"/>
      <c r="N94" s="36"/>
      <c r="O94" s="37" t="s">
        <v>1475</v>
      </c>
      <c r="P94" s="323"/>
    </row>
    <row r="95" spans="1:16" ht="15.75" customHeight="1">
      <c r="A95" s="9" t="s">
        <v>7</v>
      </c>
      <c r="B95" s="10"/>
      <c r="C95" s="10"/>
      <c r="D95" s="148"/>
      <c r="E95" s="148"/>
      <c r="F95" s="148"/>
      <c r="G95" s="148"/>
      <c r="H95" s="111"/>
      <c r="I95" s="44"/>
      <c r="J95" s="12"/>
      <c r="K95" s="13">
        <f>SUM(J93:J94)</f>
        <v>678400</v>
      </c>
      <c r="L95" s="10"/>
      <c r="M95" s="10"/>
      <c r="N95" s="10"/>
      <c r="O95" s="73"/>
    </row>
    <row r="96" spans="1:16" s="97" customFormat="1" ht="15.75" customHeight="1">
      <c r="A96" s="31" t="s">
        <v>8</v>
      </c>
      <c r="B96" s="31" t="s">
        <v>765</v>
      </c>
      <c r="C96" s="32" t="s">
        <v>766</v>
      </c>
      <c r="D96" s="182"/>
      <c r="E96" s="182"/>
      <c r="F96" s="182"/>
      <c r="G96" s="133"/>
      <c r="H96" s="67">
        <f>+Table_1[[#This Row],[Column7]]+Table_1[[#This Row],[Column6]]+Table_1[[#This Row],[Column5]]+Table_1[[#This Row],[Column4]]</f>
        <v>0</v>
      </c>
      <c r="I96" s="38">
        <v>13000</v>
      </c>
      <c r="J96" s="34">
        <f>+'PACC GENERAL 2026'!$H96*'PACC GENERAL 2026'!$I96</f>
        <v>0</v>
      </c>
      <c r="K96" s="35"/>
      <c r="L96" s="31"/>
      <c r="M96" s="31"/>
      <c r="N96" s="32"/>
      <c r="O96" s="32"/>
    </row>
    <row r="97" spans="1:16" s="287" customFormat="1" ht="15.75" customHeight="1">
      <c r="A97" s="36" t="s">
        <v>8</v>
      </c>
      <c r="B97" s="36" t="s">
        <v>113</v>
      </c>
      <c r="C97" s="37" t="s">
        <v>94</v>
      </c>
      <c r="D97" s="213"/>
      <c r="E97" s="195">
        <v>2</v>
      </c>
      <c r="F97" s="195"/>
      <c r="G97" s="138"/>
      <c r="H97" s="110">
        <f>+Table_1[[#This Row],[Column7]]+Table_1[[#This Row],[Column6]]+Table_1[[#This Row],[Column5]]+Table_1[[#This Row],[Column4]]</f>
        <v>2</v>
      </c>
      <c r="I97" s="38">
        <v>24228.94</v>
      </c>
      <c r="J97" s="39">
        <f>'PACC GENERAL 2026'!$I97*'PACC GENERAL 2026'!$H97</f>
        <v>48457.88</v>
      </c>
      <c r="K97" s="40"/>
      <c r="L97" s="36"/>
      <c r="M97" s="36"/>
      <c r="N97" s="37"/>
      <c r="O97" s="37" t="s">
        <v>1001</v>
      </c>
      <c r="P97" s="323"/>
    </row>
    <row r="98" spans="1:16" s="287" customFormat="1" ht="15.5">
      <c r="A98" s="36" t="s">
        <v>8</v>
      </c>
      <c r="B98" s="36" t="s">
        <v>114</v>
      </c>
      <c r="C98" s="37" t="s">
        <v>94</v>
      </c>
      <c r="D98" s="195"/>
      <c r="E98" s="138">
        <f>5+2</f>
        <v>7</v>
      </c>
      <c r="F98" s="295"/>
      <c r="G98" s="138"/>
      <c r="H98" s="110">
        <f>+Table_1[[#This Row],[Column7]]+Table_1[[#This Row],[Column6]]+Table_1[[#This Row],[Column5]]+Table_1[[#This Row],[Column4]]</f>
        <v>7</v>
      </c>
      <c r="I98" s="38">
        <v>73357.142800000001</v>
      </c>
      <c r="J98" s="39">
        <f>'PACC GENERAL 2026'!$I98*'PACC GENERAL 2026'!$H98</f>
        <v>513499.99959999998</v>
      </c>
      <c r="K98" s="40"/>
      <c r="L98" s="36"/>
      <c r="M98" s="36"/>
      <c r="N98" s="37"/>
      <c r="O98" s="37" t="s">
        <v>1476</v>
      </c>
    </row>
    <row r="99" spans="1:16" s="97" customFormat="1" ht="15.75" customHeight="1">
      <c r="A99" s="31" t="s">
        <v>8</v>
      </c>
      <c r="B99" s="31" t="s">
        <v>113</v>
      </c>
      <c r="C99" s="32" t="s">
        <v>94</v>
      </c>
      <c r="D99" s="133"/>
      <c r="E99" s="133">
        <v>5</v>
      </c>
      <c r="F99" s="133"/>
      <c r="G99" s="137"/>
      <c r="H99" s="67">
        <f>+Table_1[[#This Row],[Column7]]+Table_1[[#This Row],[Column6]]+Table_1[[#This Row],[Column5]]+Table_1[[#This Row],[Column4]]</f>
        <v>5</v>
      </c>
      <c r="I99" s="38">
        <v>24228.94</v>
      </c>
      <c r="J99" s="34">
        <f>+'PACC GENERAL 2026'!$H99*'PACC GENERAL 2026'!$I99</f>
        <v>121144.7</v>
      </c>
      <c r="K99" s="35"/>
      <c r="L99" s="31"/>
      <c r="M99" s="31"/>
      <c r="N99" s="32"/>
      <c r="O99" s="32" t="s">
        <v>1224</v>
      </c>
      <c r="P99" s="320"/>
    </row>
    <row r="100" spans="1:16" s="97" customFormat="1" ht="15.75" customHeight="1">
      <c r="A100" s="31" t="s">
        <v>8</v>
      </c>
      <c r="B100" s="31" t="s">
        <v>1227</v>
      </c>
      <c r="C100" s="32" t="s">
        <v>94</v>
      </c>
      <c r="D100" s="133"/>
      <c r="E100" s="133">
        <v>4</v>
      </c>
      <c r="F100" s="133"/>
      <c r="G100" s="137"/>
      <c r="H100" s="67">
        <f>+Table_1[[#This Row],[Column7]]+Table_1[[#This Row],[Column6]]+Table_1[[#This Row],[Column5]]+Table_1[[#This Row],[Column4]]</f>
        <v>4</v>
      </c>
      <c r="I100" s="38">
        <v>1568000</v>
      </c>
      <c r="J100" s="34">
        <f>+'PACC GENERAL 2026'!$H100*'PACC GENERAL 2026'!$I100</f>
        <v>6272000</v>
      </c>
      <c r="K100" s="35"/>
      <c r="L100" s="31"/>
      <c r="M100" s="31"/>
      <c r="N100" s="32"/>
      <c r="O100" s="32" t="s">
        <v>1224</v>
      </c>
      <c r="P100" s="320"/>
    </row>
    <row r="101" spans="1:16" s="97" customFormat="1" ht="15.75" customHeight="1">
      <c r="A101" s="31" t="s">
        <v>871</v>
      </c>
      <c r="B101" s="31" t="s">
        <v>828</v>
      </c>
      <c r="C101" s="32" t="s">
        <v>94</v>
      </c>
      <c r="D101" s="133"/>
      <c r="E101" s="133">
        <v>6</v>
      </c>
      <c r="F101" s="133"/>
      <c r="G101" s="137"/>
      <c r="H101" s="67">
        <f>+Table_1[[#This Row],[Column7]]+Table_1[[#This Row],[Column6]]+Table_1[[#This Row],[Column5]]+Table_1[[#This Row],[Column4]]</f>
        <v>6</v>
      </c>
      <c r="I101" s="38">
        <v>225000</v>
      </c>
      <c r="J101" s="34">
        <f>+'PACC GENERAL 2026'!$H101*'PACC GENERAL 2026'!$I101</f>
        <v>1350000</v>
      </c>
      <c r="K101" s="35"/>
      <c r="L101" s="31"/>
      <c r="M101" s="31"/>
      <c r="N101" s="32"/>
      <c r="O101" s="32" t="s">
        <v>1224</v>
      </c>
      <c r="P101" s="320"/>
    </row>
    <row r="102" spans="1:16" s="97" customFormat="1" ht="15.75" customHeight="1">
      <c r="A102" s="31" t="s">
        <v>8</v>
      </c>
      <c r="B102" s="31" t="s">
        <v>1225</v>
      </c>
      <c r="C102" s="32" t="s">
        <v>766</v>
      </c>
      <c r="D102" s="133"/>
      <c r="E102" s="133">
        <v>60</v>
      </c>
      <c r="F102" s="133"/>
      <c r="G102" s="137"/>
      <c r="H102" s="67">
        <f>+Table_1[[#This Row],[Column7]]+Table_1[[#This Row],[Column6]]+Table_1[[#This Row],[Column5]]+Table_1[[#This Row],[Column4]]</f>
        <v>60</v>
      </c>
      <c r="I102" s="38">
        <v>4000</v>
      </c>
      <c r="J102" s="34">
        <f>+'PACC GENERAL 2026'!$H102*'PACC GENERAL 2026'!$I102</f>
        <v>240000</v>
      </c>
      <c r="K102" s="35"/>
      <c r="L102" s="31"/>
      <c r="M102" s="31"/>
      <c r="N102" s="32"/>
      <c r="O102" s="32" t="s">
        <v>1224</v>
      </c>
      <c r="P102" s="320"/>
    </row>
    <row r="103" spans="1:16" s="97" customFormat="1" ht="15.75" customHeight="1">
      <c r="A103" s="31" t="s">
        <v>8</v>
      </c>
      <c r="B103" s="31" t="s">
        <v>1226</v>
      </c>
      <c r="C103" s="32" t="s">
        <v>766</v>
      </c>
      <c r="D103" s="133"/>
      <c r="E103" s="133">
        <v>40</v>
      </c>
      <c r="F103" s="133"/>
      <c r="G103" s="137"/>
      <c r="H103" s="67">
        <f>+Table_1[[#This Row],[Column7]]+Table_1[[#This Row],[Column6]]+Table_1[[#This Row],[Column5]]+Table_1[[#This Row],[Column4]]</f>
        <v>40</v>
      </c>
      <c r="I103" s="38">
        <v>1200</v>
      </c>
      <c r="J103" s="34">
        <f>+'PACC GENERAL 2026'!$H103*'PACC GENERAL 2026'!$I103</f>
        <v>48000</v>
      </c>
      <c r="K103" s="35"/>
      <c r="L103" s="31"/>
      <c r="M103" s="31"/>
      <c r="N103" s="32"/>
      <c r="O103" s="32" t="s">
        <v>1224</v>
      </c>
      <c r="P103" s="320"/>
    </row>
    <row r="104" spans="1:16" ht="15.75" customHeight="1">
      <c r="A104" s="9" t="s">
        <v>8</v>
      </c>
      <c r="B104" s="10"/>
      <c r="C104" s="10"/>
      <c r="D104" s="148"/>
      <c r="E104" s="148"/>
      <c r="F104" s="148"/>
      <c r="G104" s="148"/>
      <c r="H104" s="111"/>
      <c r="I104" s="44"/>
      <c r="J104" s="12"/>
      <c r="K104" s="13">
        <f>SUM(J96:J103)</f>
        <v>8593102.5795999989</v>
      </c>
      <c r="L104" s="10"/>
      <c r="M104" s="10"/>
      <c r="N104" s="10"/>
      <c r="O104" s="73"/>
    </row>
    <row r="105" spans="1:16" s="287" customFormat="1" ht="15.5">
      <c r="A105" s="175" t="s">
        <v>9</v>
      </c>
      <c r="B105" s="175" t="s">
        <v>845</v>
      </c>
      <c r="C105" s="187" t="s">
        <v>94</v>
      </c>
      <c r="D105" s="195"/>
      <c r="E105" s="195"/>
      <c r="F105" s="195"/>
      <c r="G105" s="195"/>
      <c r="H105" s="67">
        <f>+Table_1[[#This Row],[Column7]]+Table_1[[#This Row],[Column6]]+Table_1[[#This Row],[Column5]]+Table_1[[#This Row],[Column4]]</f>
        <v>0</v>
      </c>
      <c r="I105" s="177">
        <v>950000</v>
      </c>
      <c r="J105" s="203">
        <f>+'PACC GENERAL 2026'!$H105*'PACC GENERAL 2026'!$I105</f>
        <v>0</v>
      </c>
      <c r="K105" s="192"/>
      <c r="L105" s="192"/>
      <c r="M105" s="192"/>
      <c r="N105" s="192"/>
      <c r="O105" s="192"/>
    </row>
    <row r="106" spans="1:16" s="287" customFormat="1" ht="15.5">
      <c r="A106" s="36" t="s">
        <v>9</v>
      </c>
      <c r="B106" s="36" t="s">
        <v>767</v>
      </c>
      <c r="C106" s="37" t="s">
        <v>94</v>
      </c>
      <c r="D106" s="133">
        <v>102</v>
      </c>
      <c r="E106" s="138"/>
      <c r="F106" s="213"/>
      <c r="G106" s="138"/>
      <c r="H106" s="67">
        <f>+Table_1[[#This Row],[Column7]]+Table_1[[#This Row],[Column6]]+Table_1[[#This Row],[Column5]]+Table_1[[#This Row],[Column4]]</f>
        <v>102</v>
      </c>
      <c r="I106" s="38">
        <v>2000</v>
      </c>
      <c r="J106" s="39">
        <f>+'PACC GENERAL 2026'!$H106*'PACC GENERAL 2026'!$I106</f>
        <v>204000</v>
      </c>
      <c r="K106" s="40"/>
      <c r="L106" s="36"/>
      <c r="M106" s="36"/>
      <c r="N106" s="37"/>
      <c r="O106" s="187" t="s">
        <v>1477</v>
      </c>
    </row>
    <row r="107" spans="1:16" s="287" customFormat="1" ht="15.5">
      <c r="A107" s="36" t="s">
        <v>9</v>
      </c>
      <c r="B107" s="36" t="s">
        <v>836</v>
      </c>
      <c r="C107" s="37" t="s">
        <v>307</v>
      </c>
      <c r="D107" s="133">
        <v>1</v>
      </c>
      <c r="E107" s="213"/>
      <c r="F107" s="213"/>
      <c r="G107" s="213"/>
      <c r="H107" s="67">
        <f>+Table_1[[#This Row],[Column7]]+Table_1[[#This Row],[Column6]]+Table_1[[#This Row],[Column5]]+Table_1[[#This Row],[Column4]]</f>
        <v>1</v>
      </c>
      <c r="I107" s="38">
        <v>160000</v>
      </c>
      <c r="J107" s="39">
        <f>+'PACC GENERAL 2026'!$H107*'PACC GENERAL 2026'!$I107</f>
        <v>160000</v>
      </c>
      <c r="K107" s="40"/>
      <c r="L107" s="36"/>
      <c r="M107" s="36"/>
      <c r="N107" s="36"/>
      <c r="O107" s="37" t="s">
        <v>1001</v>
      </c>
      <c r="P107" s="323"/>
    </row>
    <row r="108" spans="1:16" s="287" customFormat="1" ht="15.5">
      <c r="A108" s="36" t="s">
        <v>9</v>
      </c>
      <c r="B108" s="36" t="s">
        <v>768</v>
      </c>
      <c r="C108" s="37" t="s">
        <v>94</v>
      </c>
      <c r="D108" s="133">
        <v>20</v>
      </c>
      <c r="E108" s="213"/>
      <c r="F108" s="213"/>
      <c r="G108" s="138"/>
      <c r="H108" s="67">
        <f>+Table_1[[#This Row],[Column7]]+Table_1[[#This Row],[Column6]]+Table_1[[#This Row],[Column5]]+Table_1[[#This Row],[Column4]]</f>
        <v>20</v>
      </c>
      <c r="I108" s="38">
        <v>12500</v>
      </c>
      <c r="J108" s="39">
        <f>+'PACC GENERAL 2026'!$H108*'PACC GENERAL 2026'!$I108</f>
        <v>250000</v>
      </c>
      <c r="K108" s="40"/>
      <c r="L108" s="36"/>
      <c r="M108" s="36"/>
      <c r="N108" s="37"/>
      <c r="O108" s="32" t="s">
        <v>1224</v>
      </c>
      <c r="P108" s="323"/>
    </row>
    <row r="109" spans="1:16" s="287" customFormat="1" ht="15.5">
      <c r="A109" s="36" t="s">
        <v>9</v>
      </c>
      <c r="B109" s="36" t="s">
        <v>770</v>
      </c>
      <c r="C109" s="37" t="s">
        <v>94</v>
      </c>
      <c r="D109" s="133">
        <v>20</v>
      </c>
      <c r="E109" s="213"/>
      <c r="F109" s="213"/>
      <c r="G109" s="138"/>
      <c r="H109" s="67">
        <f>+Table_1[[#This Row],[Column7]]+Table_1[[#This Row],[Column6]]+Table_1[[#This Row],[Column5]]+Table_1[[#This Row],[Column4]]</f>
        <v>20</v>
      </c>
      <c r="I109" s="38">
        <v>6000</v>
      </c>
      <c r="J109" s="39">
        <f>+'PACC GENERAL 2026'!$H109*'PACC GENERAL 2026'!$I109</f>
        <v>120000</v>
      </c>
      <c r="K109" s="40"/>
      <c r="L109" s="36"/>
      <c r="M109" s="36"/>
      <c r="N109" s="37"/>
      <c r="O109" s="32" t="s">
        <v>1224</v>
      </c>
      <c r="P109" s="323"/>
    </row>
    <row r="110" spans="1:16" s="287" customFormat="1" ht="15.5">
      <c r="A110" s="36" t="s">
        <v>9</v>
      </c>
      <c r="B110" s="36" t="s">
        <v>771</v>
      </c>
      <c r="C110" s="37" t="s">
        <v>94</v>
      </c>
      <c r="D110" s="133">
        <f>4+5</f>
        <v>9</v>
      </c>
      <c r="E110" s="138">
        <f>4+1-5</f>
        <v>0</v>
      </c>
      <c r="F110" s="138"/>
      <c r="G110" s="138"/>
      <c r="H110" s="67">
        <f>+Table_1[[#This Row],[Column7]]+Table_1[[#This Row],[Column6]]+Table_1[[#This Row],[Column5]]+Table_1[[#This Row],[Column4]]</f>
        <v>9</v>
      </c>
      <c r="I110" s="38">
        <v>450000</v>
      </c>
      <c r="J110" s="39">
        <f>+'PACC GENERAL 2026'!$H110*'PACC GENERAL 2026'!$I110</f>
        <v>4050000</v>
      </c>
      <c r="K110" s="40"/>
      <c r="L110" s="36"/>
      <c r="M110" s="36"/>
      <c r="N110" s="37"/>
      <c r="O110" s="32" t="s">
        <v>1478</v>
      </c>
      <c r="P110" s="323"/>
    </row>
    <row r="111" spans="1:16" s="418" customFormat="1" ht="15.5">
      <c r="A111" s="126" t="s">
        <v>9</v>
      </c>
      <c r="B111" s="126" t="s">
        <v>1091</v>
      </c>
      <c r="C111" s="420" t="s">
        <v>133</v>
      </c>
      <c r="D111" s="440">
        <v>15</v>
      </c>
      <c r="E111" s="416"/>
      <c r="F111" s="421"/>
      <c r="G111" s="421"/>
      <c r="H111" s="410">
        <f>+Table_1[[#This Row],[Column7]]+Table_1[[#This Row],[Column6]]+Table_1[[#This Row],[Column5]]+Table_1[[#This Row],[Column4]]</f>
        <v>15</v>
      </c>
      <c r="I111" s="274">
        <v>279.66000000000003</v>
      </c>
      <c r="J111" s="422">
        <f>+'PACC GENERAL 2026'!$H111*'PACC GENERAL 2026'!$I111</f>
        <v>4194.9000000000005</v>
      </c>
      <c r="K111" s="423"/>
      <c r="L111" s="126"/>
      <c r="M111" s="126"/>
      <c r="N111" s="126"/>
      <c r="O111" s="420" t="s">
        <v>434</v>
      </c>
      <c r="P111" s="417"/>
    </row>
    <row r="112" spans="1:16" s="287" customFormat="1" ht="15.5">
      <c r="A112" s="36" t="s">
        <v>9</v>
      </c>
      <c r="B112" s="36" t="s">
        <v>693</v>
      </c>
      <c r="C112" s="37" t="s">
        <v>94</v>
      </c>
      <c r="D112" s="133">
        <v>10</v>
      </c>
      <c r="E112" s="138"/>
      <c r="F112" s="213"/>
      <c r="G112" s="138"/>
      <c r="H112" s="67">
        <f>+Table_1[[#This Row],[Column7]]+Table_1[[#This Row],[Column6]]+Table_1[[#This Row],[Column5]]+Table_1[[#This Row],[Column4]]</f>
        <v>10</v>
      </c>
      <c r="I112" s="38">
        <v>9000</v>
      </c>
      <c r="J112" s="39">
        <f>+'PACC GENERAL 2026'!$H112*'PACC GENERAL 2026'!$I112</f>
        <v>90000</v>
      </c>
      <c r="K112" s="40"/>
      <c r="L112" s="36"/>
      <c r="M112" s="36"/>
      <c r="N112" s="37"/>
      <c r="O112" s="32" t="s">
        <v>1224</v>
      </c>
      <c r="P112" s="323"/>
    </row>
    <row r="113" spans="1:16" ht="15.5">
      <c r="A113" s="9" t="s">
        <v>9</v>
      </c>
      <c r="B113" s="10"/>
      <c r="C113" s="10"/>
      <c r="D113" s="148"/>
      <c r="E113" s="148"/>
      <c r="F113" s="148"/>
      <c r="G113" s="148"/>
      <c r="H113" s="111"/>
      <c r="I113" s="44"/>
      <c r="J113" s="12"/>
      <c r="K113" s="13">
        <f>SUM(J105:J112)</f>
        <v>4878194.9000000004</v>
      </c>
      <c r="L113" s="10"/>
      <c r="M113" s="10"/>
      <c r="N113" s="10"/>
      <c r="O113" s="73"/>
    </row>
    <row r="114" spans="1:16" s="418" customFormat="1" ht="15.75" customHeight="1">
      <c r="A114" s="126" t="s">
        <v>1671</v>
      </c>
      <c r="B114" s="399" t="s">
        <v>1077</v>
      </c>
      <c r="C114" s="420" t="s">
        <v>94</v>
      </c>
      <c r="D114" s="421">
        <v>1</v>
      </c>
      <c r="E114" s="416"/>
      <c r="F114" s="421"/>
      <c r="G114" s="421"/>
      <c r="H114" s="410">
        <f>+Table_1[[#This Row],[Column7]]+Table_1[[#This Row],[Column6]]+Table_1[[#This Row],[Column5]]+Table_1[[#This Row],[Column4]]</f>
        <v>1</v>
      </c>
      <c r="I114" s="274">
        <v>950000</v>
      </c>
      <c r="J114" s="422">
        <f>'PACC GENERAL 2026'!$I114*'PACC GENERAL 2026'!$H114</f>
        <v>950000</v>
      </c>
      <c r="K114" s="423"/>
      <c r="L114" s="126"/>
      <c r="M114" s="126"/>
      <c r="N114" s="420"/>
      <c r="O114" s="420" t="s">
        <v>434</v>
      </c>
      <c r="P114" s="417"/>
    </row>
    <row r="115" spans="1:16" s="405" customFormat="1" ht="15.5">
      <c r="A115" s="9" t="s">
        <v>1671</v>
      </c>
      <c r="B115" s="10"/>
      <c r="C115" s="10"/>
      <c r="D115" s="148"/>
      <c r="E115" s="148"/>
      <c r="F115" s="148"/>
      <c r="G115" s="148"/>
      <c r="H115" s="111"/>
      <c r="I115" s="44"/>
      <c r="J115" s="12"/>
      <c r="K115" s="13">
        <f>SUM(J114)</f>
        <v>950000</v>
      </c>
      <c r="L115" s="10"/>
      <c r="M115" s="10"/>
      <c r="N115" s="10"/>
      <c r="O115" s="73"/>
    </row>
    <row r="116" spans="1:16" s="97" customFormat="1" ht="15.5">
      <c r="A116" s="174" t="s">
        <v>10</v>
      </c>
      <c r="B116" s="174" t="s">
        <v>115</v>
      </c>
      <c r="C116" s="32" t="s">
        <v>94</v>
      </c>
      <c r="D116" s="133"/>
      <c r="E116" s="133"/>
      <c r="F116" s="133"/>
      <c r="G116" s="133"/>
      <c r="H116" s="67">
        <f>+Table_1[[#This Row],[Column7]]+Table_1[[#This Row],[Column6]]+Table_1[[#This Row],[Column5]]+Table_1[[#This Row],[Column4]]</f>
        <v>0</v>
      </c>
      <c r="I116" s="38">
        <v>5600</v>
      </c>
      <c r="J116" s="34">
        <f>'PACC GENERAL 2026'!$I116*'PACC GENERAL 2026'!$H116</f>
        <v>0</v>
      </c>
      <c r="K116" s="35"/>
      <c r="L116" s="31"/>
      <c r="M116" s="31"/>
      <c r="N116" s="32"/>
      <c r="O116" s="179"/>
    </row>
    <row r="117" spans="1:16" s="97" customFormat="1" ht="15.75" customHeight="1">
      <c r="A117" s="31" t="s">
        <v>10</v>
      </c>
      <c r="B117" s="36" t="s">
        <v>507</v>
      </c>
      <c r="C117" s="32" t="s">
        <v>94</v>
      </c>
      <c r="D117" s="133"/>
      <c r="E117" s="133"/>
      <c r="F117" s="133"/>
      <c r="G117" s="133"/>
      <c r="H117" s="67">
        <f>+Table_1[[#This Row],[Column7]]+Table_1[[#This Row],[Column6]]+Table_1[[#This Row],[Column5]]+Table_1[[#This Row],[Column4]]</f>
        <v>0</v>
      </c>
      <c r="I117" s="38">
        <v>5516.4</v>
      </c>
      <c r="J117" s="34">
        <f>'PACC GENERAL 2026'!$I117*'PACC GENERAL 2026'!$H117</f>
        <v>0</v>
      </c>
      <c r="K117" s="35"/>
      <c r="L117" s="31"/>
      <c r="M117" s="31"/>
      <c r="N117" s="32"/>
      <c r="O117" s="32" t="s">
        <v>434</v>
      </c>
    </row>
    <row r="118" spans="1:16" s="97" customFormat="1" ht="15.75" customHeight="1">
      <c r="A118" s="31" t="s">
        <v>10</v>
      </c>
      <c r="B118" s="36" t="s">
        <v>1076</v>
      </c>
      <c r="C118" s="32" t="s">
        <v>94</v>
      </c>
      <c r="D118" s="133">
        <f>100+1220</f>
        <v>1320</v>
      </c>
      <c r="E118" s="283"/>
      <c r="F118" s="133">
        <v>200</v>
      </c>
      <c r="G118" s="137"/>
      <c r="H118" s="67">
        <f>+Table_1[[#This Row],[Column7]]+Table_1[[#This Row],[Column6]]+Table_1[[#This Row],[Column5]]+Table_1[[#This Row],[Column4]]</f>
        <v>1520</v>
      </c>
      <c r="I118" s="38">
        <v>2500</v>
      </c>
      <c r="J118" s="34">
        <f>'PACC GENERAL 2026'!$I118*'PACC GENERAL 2026'!$H118</f>
        <v>3800000</v>
      </c>
      <c r="K118" s="35"/>
      <c r="L118" s="31"/>
      <c r="M118" s="31"/>
      <c r="N118" s="32"/>
      <c r="O118" s="32" t="s">
        <v>1509</v>
      </c>
      <c r="P118" s="320"/>
    </row>
    <row r="119" spans="1:16" s="97" customFormat="1" ht="15.75" customHeight="1">
      <c r="A119" s="31" t="s">
        <v>10</v>
      </c>
      <c r="B119" s="36" t="s">
        <v>694</v>
      </c>
      <c r="C119" s="32" t="s">
        <v>94</v>
      </c>
      <c r="D119" s="133">
        <v>70</v>
      </c>
      <c r="E119" s="133"/>
      <c r="F119" s="133">
        <v>80</v>
      </c>
      <c r="G119" s="133"/>
      <c r="H119" s="67">
        <f>+Table_1[[#This Row],[Column7]]+Table_1[[#This Row],[Column6]]+Table_1[[#This Row],[Column5]]+Table_1[[#This Row],[Column4]]</f>
        <v>150</v>
      </c>
      <c r="I119" s="38">
        <v>700</v>
      </c>
      <c r="J119" s="34">
        <f>'PACC GENERAL 2026'!$I119*'PACC GENERAL 2026'!$H119</f>
        <v>105000</v>
      </c>
      <c r="K119" s="35"/>
      <c r="L119" s="31"/>
      <c r="M119" s="31"/>
      <c r="N119" s="32"/>
      <c r="O119" s="32" t="s">
        <v>434</v>
      </c>
      <c r="P119" s="320"/>
    </row>
    <row r="120" spans="1:16" s="97" customFormat="1" ht="15.75" customHeight="1">
      <c r="A120" s="31" t="s">
        <v>10</v>
      </c>
      <c r="B120" s="36" t="s">
        <v>1078</v>
      </c>
      <c r="C120" s="32" t="s">
        <v>93</v>
      </c>
      <c r="D120" s="133">
        <v>20</v>
      </c>
      <c r="E120" s="137"/>
      <c r="F120" s="133"/>
      <c r="G120" s="133"/>
      <c r="H120" s="67">
        <f>+Table_1[[#This Row],[Column7]]+Table_1[[#This Row],[Column6]]+Table_1[[#This Row],[Column5]]+Table_1[[#This Row],[Column4]]</f>
        <v>20</v>
      </c>
      <c r="I120" s="38">
        <v>9000</v>
      </c>
      <c r="J120" s="34">
        <f>'PACC GENERAL 2026'!$I120*'PACC GENERAL 2026'!$H120</f>
        <v>180000</v>
      </c>
      <c r="K120" s="35"/>
      <c r="L120" s="31"/>
      <c r="M120" s="31"/>
      <c r="N120" s="32"/>
      <c r="O120" s="32" t="s">
        <v>434</v>
      </c>
      <c r="P120" s="320"/>
    </row>
    <row r="121" spans="1:16" s="97" customFormat="1" ht="15.5">
      <c r="A121" s="31" t="s">
        <v>10</v>
      </c>
      <c r="B121" s="66" t="s">
        <v>511</v>
      </c>
      <c r="C121" s="65" t="s">
        <v>133</v>
      </c>
      <c r="D121" s="133">
        <v>3</v>
      </c>
      <c r="E121" s="137"/>
      <c r="F121" s="139"/>
      <c r="G121" s="139"/>
      <c r="H121" s="67">
        <f>+Table_1[[#This Row],[Column7]]+Table_1[[#This Row],[Column6]]+Table_1[[#This Row],[Column5]]+Table_1[[#This Row],[Column4]]</f>
        <v>3</v>
      </c>
      <c r="I121" s="38">
        <v>25000</v>
      </c>
      <c r="J121" s="34">
        <f>'PACC GENERAL 2026'!$I121*'PACC GENERAL 2026'!$H121</f>
        <v>75000</v>
      </c>
      <c r="K121" s="35"/>
      <c r="L121" s="96"/>
      <c r="M121" s="86"/>
      <c r="N121" s="86"/>
      <c r="O121" s="63" t="s">
        <v>434</v>
      </c>
      <c r="P121" s="320"/>
    </row>
    <row r="122" spans="1:16" s="97" customFormat="1" ht="15.5">
      <c r="A122" s="31" t="s">
        <v>10</v>
      </c>
      <c r="B122" s="31" t="s">
        <v>132</v>
      </c>
      <c r="C122" s="32" t="s">
        <v>133</v>
      </c>
      <c r="D122" s="133">
        <v>3</v>
      </c>
      <c r="E122" s="137"/>
      <c r="F122" s="133"/>
      <c r="G122" s="133"/>
      <c r="H122" s="67">
        <f>+Table_1[[#This Row],[Column7]]+Table_1[[#This Row],[Column6]]+Table_1[[#This Row],[Column5]]+Table_1[[#This Row],[Column4]]</f>
        <v>3</v>
      </c>
      <c r="I122" s="38">
        <v>2860</v>
      </c>
      <c r="J122" s="34">
        <f>+'PACC GENERAL 2026'!$H122*'PACC GENERAL 2026'!$I122</f>
        <v>8580</v>
      </c>
      <c r="K122" s="35"/>
      <c r="L122" s="32"/>
      <c r="M122" s="86"/>
      <c r="N122" s="86"/>
      <c r="O122" s="32" t="s">
        <v>434</v>
      </c>
      <c r="P122" s="320"/>
    </row>
    <row r="123" spans="1:16" s="97" customFormat="1" ht="15.75" customHeight="1">
      <c r="A123" s="31" t="s">
        <v>10</v>
      </c>
      <c r="B123" s="36" t="s">
        <v>366</v>
      </c>
      <c r="C123" s="32" t="s">
        <v>94</v>
      </c>
      <c r="D123" s="133">
        <v>190</v>
      </c>
      <c r="E123" s="133"/>
      <c r="F123" s="133">
        <v>135</v>
      </c>
      <c r="G123" s="133"/>
      <c r="H123" s="67">
        <f>+Table_1[[#This Row],[Column7]]+Table_1[[#This Row],[Column6]]+Table_1[[#This Row],[Column5]]+Table_1[[#This Row],[Column4]]</f>
        <v>325</v>
      </c>
      <c r="I123" s="38">
        <v>9000</v>
      </c>
      <c r="J123" s="34">
        <f>'PACC GENERAL 2026'!$I123*'PACC GENERAL 2026'!$H123</f>
        <v>2925000</v>
      </c>
      <c r="K123" s="35"/>
      <c r="L123" s="31"/>
      <c r="M123" s="31"/>
      <c r="N123" s="32"/>
      <c r="O123" s="32" t="s">
        <v>434</v>
      </c>
      <c r="P123" s="320"/>
    </row>
    <row r="124" spans="1:16" ht="15.5">
      <c r="A124" s="9" t="s">
        <v>10</v>
      </c>
      <c r="B124" s="10"/>
      <c r="C124" s="10"/>
      <c r="D124" s="148"/>
      <c r="E124" s="148"/>
      <c r="F124" s="148"/>
      <c r="G124" s="152"/>
      <c r="H124" s="111"/>
      <c r="I124" s="44"/>
      <c r="J124" s="12"/>
      <c r="K124" s="13">
        <f>SUM(J116:J123)</f>
        <v>7093580</v>
      </c>
      <c r="L124" s="10"/>
      <c r="M124" s="10"/>
      <c r="N124" s="10"/>
      <c r="O124" s="73"/>
    </row>
    <row r="125" spans="1:16" s="97" customFormat="1" ht="15.5">
      <c r="A125" s="177" t="s">
        <v>11</v>
      </c>
      <c r="B125" s="177" t="s">
        <v>116</v>
      </c>
      <c r="C125" s="32" t="s">
        <v>94</v>
      </c>
      <c r="D125" s="183">
        <v>5</v>
      </c>
      <c r="E125" s="182"/>
      <c r="F125" s="137"/>
      <c r="G125" s="182"/>
      <c r="H125" s="67">
        <f>+Table_1[[#This Row],[Column7]]+Table_1[[#This Row],[Column6]]+Table_1[[#This Row],[Column5]]+Table_1[[#This Row],[Column4]]</f>
        <v>5</v>
      </c>
      <c r="I125" s="38">
        <v>11000</v>
      </c>
      <c r="J125" s="34">
        <f>+'PACC GENERAL 2026'!$H125*'PACC GENERAL 2026'!$I125</f>
        <v>55000</v>
      </c>
      <c r="K125" s="186"/>
      <c r="L125" s="174"/>
      <c r="M125" s="174"/>
      <c r="N125" s="174"/>
      <c r="O125" s="179" t="s">
        <v>1001</v>
      </c>
    </row>
    <row r="126" spans="1:16" s="97" customFormat="1" ht="15.5">
      <c r="A126" s="38" t="s">
        <v>11</v>
      </c>
      <c r="B126" s="31" t="s">
        <v>726</v>
      </c>
      <c r="C126" s="32" t="s">
        <v>94</v>
      </c>
      <c r="D126" s="139"/>
      <c r="E126" s="137"/>
      <c r="F126" s="139"/>
      <c r="G126" s="133"/>
      <c r="H126" s="67">
        <f>+Table_1[[#This Row],[Column7]]+Table_1[[#This Row],[Column6]]+Table_1[[#This Row],[Column5]]+Table_1[[#This Row],[Column4]]</f>
        <v>0</v>
      </c>
      <c r="I126" s="38">
        <v>9000</v>
      </c>
      <c r="J126" s="34">
        <f>+'PACC GENERAL 2026'!$H126*'PACC GENERAL 2026'!$I126</f>
        <v>0</v>
      </c>
      <c r="K126" s="35"/>
      <c r="L126" s="31"/>
      <c r="M126" s="31"/>
      <c r="N126" s="31"/>
      <c r="O126" s="32"/>
      <c r="P126" s="320"/>
    </row>
    <row r="127" spans="1:16" ht="15.5">
      <c r="A127" s="52" t="s">
        <v>11</v>
      </c>
      <c r="B127" s="10"/>
      <c r="C127" s="10"/>
      <c r="D127" s="148"/>
      <c r="E127" s="148"/>
      <c r="F127" s="148"/>
      <c r="G127" s="152"/>
      <c r="H127" s="111"/>
      <c r="I127" s="44"/>
      <c r="J127" s="12"/>
      <c r="K127" s="13">
        <f>SUM(J125:J126)</f>
        <v>55000</v>
      </c>
      <c r="L127" s="10"/>
      <c r="M127" s="10"/>
      <c r="N127" s="10"/>
      <c r="O127" s="73"/>
    </row>
    <row r="128" spans="1:16" s="287" customFormat="1" ht="15.5">
      <c r="A128" s="177" t="s">
        <v>513</v>
      </c>
      <c r="B128" s="435" t="s">
        <v>514</v>
      </c>
      <c r="C128" s="436" t="s">
        <v>94</v>
      </c>
      <c r="D128" s="213"/>
      <c r="E128" s="437">
        <v>1</v>
      </c>
      <c r="F128" s="438"/>
      <c r="G128" s="236"/>
      <c r="H128" s="110">
        <f>+Table_1[[#This Row],[Column7]]+Table_1[[#This Row],[Column6]]+Table_1[[#This Row],[Column5]]+Table_1[[#This Row],[Column4]]</f>
        <v>1</v>
      </c>
      <c r="I128" s="177">
        <v>2800000</v>
      </c>
      <c r="J128" s="203">
        <f>+'PACC GENERAL 2026'!$H128*'PACC GENERAL 2026'!$I128</f>
        <v>2800000</v>
      </c>
      <c r="K128" s="239"/>
      <c r="L128" s="77"/>
      <c r="M128" s="77"/>
      <c r="N128" s="77"/>
      <c r="O128" s="123" t="s">
        <v>1191</v>
      </c>
      <c r="P128" s="323"/>
    </row>
    <row r="129" spans="1:16" s="287" customFormat="1" ht="15.5">
      <c r="A129" s="36" t="s">
        <v>536</v>
      </c>
      <c r="B129" s="36" t="s">
        <v>537</v>
      </c>
      <c r="C129" s="37" t="s">
        <v>94</v>
      </c>
      <c r="D129" s="213"/>
      <c r="E129" s="437">
        <f>13-6</f>
        <v>7</v>
      </c>
      <c r="F129" s="216"/>
      <c r="G129" s="216"/>
      <c r="H129" s="110">
        <f>+Table_1[[#This Row],[Column7]]+Table_1[[#This Row],[Column6]]+Table_1[[#This Row],[Column5]]+Table_1[[#This Row],[Column4]]</f>
        <v>7</v>
      </c>
      <c r="I129" s="38">
        <v>3900000</v>
      </c>
      <c r="J129" s="203">
        <f>+'PACC GENERAL 2026'!$H129*'PACC GENERAL 2026'!$I129</f>
        <v>27300000</v>
      </c>
      <c r="K129" s="239"/>
      <c r="L129" s="77"/>
      <c r="M129" s="77"/>
      <c r="N129" s="77"/>
      <c r="O129" s="328" t="s">
        <v>1004</v>
      </c>
      <c r="P129" s="323"/>
    </row>
    <row r="130" spans="1:16" s="287" customFormat="1" ht="15.5">
      <c r="A130" s="36" t="s">
        <v>513</v>
      </c>
      <c r="B130" s="36" t="s">
        <v>521</v>
      </c>
      <c r="C130" s="37" t="s">
        <v>94</v>
      </c>
      <c r="D130" s="213"/>
      <c r="E130" s="437">
        <v>2</v>
      </c>
      <c r="F130" s="236">
        <f>1</f>
        <v>1</v>
      </c>
      <c r="G130" s="216"/>
      <c r="H130" s="110">
        <f>+Table_1[[#This Row],[Column7]]+Table_1[[#This Row],[Column6]]+Table_1[[#This Row],[Column5]]+Table_1[[#This Row],[Column4]]</f>
        <v>3</v>
      </c>
      <c r="I130" s="38">
        <v>3700000</v>
      </c>
      <c r="J130" s="203">
        <f>+'PACC GENERAL 2026'!$H130*'PACC GENERAL 2026'!$I130</f>
        <v>11100000</v>
      </c>
      <c r="K130" s="239"/>
      <c r="L130" s="77"/>
      <c r="M130" s="77"/>
      <c r="N130" s="77"/>
      <c r="O130" s="37" t="s">
        <v>1379</v>
      </c>
      <c r="P130" s="323"/>
    </row>
    <row r="131" spans="1:16" s="287" customFormat="1" ht="31">
      <c r="A131" s="38" t="s">
        <v>513</v>
      </c>
      <c r="B131" s="170" t="s">
        <v>520</v>
      </c>
      <c r="C131" s="37" t="s">
        <v>94</v>
      </c>
      <c r="D131" s="213"/>
      <c r="E131" s="437">
        <f>18+25</f>
        <v>43</v>
      </c>
      <c r="F131" s="398">
        <v>13</v>
      </c>
      <c r="G131" s="236"/>
      <c r="H131" s="110">
        <f>+Table_1[[#This Row],[Column7]]+Table_1[[#This Row],[Column6]]+Table_1[[#This Row],[Column5]]+Table_1[[#This Row],[Column4]]</f>
        <v>56</v>
      </c>
      <c r="I131" s="38">
        <v>130000</v>
      </c>
      <c r="J131" s="203">
        <f>+'PACC GENERAL 2026'!$H131*'PACC GENERAL 2026'!$I131</f>
        <v>7280000</v>
      </c>
      <c r="K131" s="239"/>
      <c r="L131" s="77"/>
      <c r="M131" s="77"/>
      <c r="N131" s="77"/>
      <c r="O131" s="37" t="s">
        <v>1479</v>
      </c>
      <c r="P131" s="323"/>
    </row>
    <row r="132" spans="1:16" s="287" customFormat="1" ht="15.5">
      <c r="A132" s="36" t="s">
        <v>513</v>
      </c>
      <c r="B132" s="36" t="s">
        <v>1000</v>
      </c>
      <c r="C132" s="37" t="s">
        <v>94</v>
      </c>
      <c r="D132" s="398"/>
      <c r="E132" s="213"/>
      <c r="F132" s="236">
        <v>1</v>
      </c>
      <c r="G132" s="216"/>
      <c r="H132" s="110">
        <f>+Table_1[[#This Row],[Column7]]+Table_1[[#This Row],[Column6]]+Table_1[[#This Row],[Column5]]+Table_1[[#This Row],[Column4]]</f>
        <v>1</v>
      </c>
      <c r="I132" s="38">
        <v>1852500</v>
      </c>
      <c r="J132" s="39">
        <f>+'PACC GENERAL 2026'!$H132*'PACC GENERAL 2026'!$I132</f>
        <v>1852500</v>
      </c>
      <c r="K132" s="239"/>
      <c r="L132" s="77"/>
      <c r="M132" s="77"/>
      <c r="N132" s="77"/>
      <c r="O132" s="37" t="s">
        <v>1001</v>
      </c>
      <c r="P132" s="323"/>
    </row>
    <row r="133" spans="1:16" ht="15.5">
      <c r="A133" s="52" t="s">
        <v>513</v>
      </c>
      <c r="B133" s="10" t="s">
        <v>117</v>
      </c>
      <c r="C133" s="10"/>
      <c r="D133" s="148"/>
      <c r="E133" s="148"/>
      <c r="F133" s="148"/>
      <c r="G133" s="152"/>
      <c r="H133" s="111"/>
      <c r="I133" s="44"/>
      <c r="J133" s="12"/>
      <c r="K133" s="13">
        <f>SUM(J128:J132)</f>
        <v>50332500</v>
      </c>
      <c r="L133" s="10"/>
      <c r="M133" s="10"/>
      <c r="N133" s="10"/>
      <c r="O133" s="73"/>
      <c r="P133" s="321"/>
    </row>
    <row r="134" spans="1:16" s="97" customFormat="1" ht="15.5">
      <c r="A134" s="177" t="s">
        <v>955</v>
      </c>
      <c r="B134" s="180" t="s">
        <v>956</v>
      </c>
      <c r="C134" s="179" t="s">
        <v>94</v>
      </c>
      <c r="D134" s="284">
        <v>2</v>
      </c>
      <c r="E134" s="289"/>
      <c r="F134" s="150"/>
      <c r="G134" s="155"/>
      <c r="H134" s="67">
        <f>+Table_1[[#This Row],[Column7]]+Table_1[[#This Row],[Column6]]+Table_1[[#This Row],[Column5]]+Table_1[[#This Row],[Column4]]</f>
        <v>2</v>
      </c>
      <c r="I134" s="177">
        <v>200000</v>
      </c>
      <c r="J134" s="201">
        <f>+'PACC GENERAL 2026'!$H134*'PACC GENERAL 2026'!$I134</f>
        <v>400000</v>
      </c>
      <c r="K134" s="103"/>
      <c r="L134" s="86"/>
      <c r="M134" s="86"/>
      <c r="N134" s="86"/>
      <c r="O134" s="63" t="s">
        <v>941</v>
      </c>
      <c r="P134" s="320"/>
    </row>
    <row r="135" spans="1:16" ht="15.5">
      <c r="A135" s="52" t="s">
        <v>955</v>
      </c>
      <c r="B135" s="10" t="s">
        <v>117</v>
      </c>
      <c r="C135" s="10"/>
      <c r="D135" s="148"/>
      <c r="E135" s="148"/>
      <c r="F135" s="148"/>
      <c r="G135" s="152"/>
      <c r="H135" s="111"/>
      <c r="I135" s="44"/>
      <c r="J135" s="12"/>
      <c r="K135" s="13">
        <f>SUM(J134)</f>
        <v>400000</v>
      </c>
      <c r="L135" s="10"/>
      <c r="M135" s="10"/>
      <c r="N135" s="10"/>
      <c r="O135" s="73"/>
      <c r="P135" s="321"/>
    </row>
    <row r="136" spans="1:16" s="287" customFormat="1" ht="15.75" customHeight="1">
      <c r="A136" s="214" t="s">
        <v>12</v>
      </c>
      <c r="B136" s="36" t="s">
        <v>1523</v>
      </c>
      <c r="C136" s="161" t="s">
        <v>94</v>
      </c>
      <c r="D136" s="215"/>
      <c r="E136" s="215">
        <v>100</v>
      </c>
      <c r="F136" s="215"/>
      <c r="G136" s="216"/>
      <c r="H136" s="67">
        <f>+Table_1[[#This Row],[Column7]]+Table_1[[#This Row],[Column6]]+Table_1[[#This Row],[Column5]]+Table_1[[#This Row],[Column4]]</f>
        <v>100</v>
      </c>
      <c r="I136" s="38">
        <v>12000</v>
      </c>
      <c r="J136" s="39">
        <f>+'PACC GENERAL 2026'!$H136*'PACC GENERAL 2026'!$I136</f>
        <v>1200000</v>
      </c>
      <c r="K136" s="40"/>
      <c r="L136" s="36"/>
      <c r="M136" s="36"/>
      <c r="N136" s="36"/>
      <c r="O136" s="32" t="s">
        <v>434</v>
      </c>
    </row>
    <row r="137" spans="1:16" s="97" customFormat="1" ht="15.75" customHeight="1">
      <c r="A137" s="105" t="s">
        <v>12</v>
      </c>
      <c r="B137" s="31" t="s">
        <v>381</v>
      </c>
      <c r="C137" s="65" t="s">
        <v>94</v>
      </c>
      <c r="D137" s="140"/>
      <c r="E137" s="140">
        <v>18</v>
      </c>
      <c r="F137" s="140"/>
      <c r="G137" s="140"/>
      <c r="H137" s="67">
        <f>+Table_1[[#This Row],[Column7]]+Table_1[[#This Row],[Column6]]+Table_1[[#This Row],[Column5]]+Table_1[[#This Row],[Column4]]</f>
        <v>18</v>
      </c>
      <c r="I137" s="38">
        <v>9000</v>
      </c>
      <c r="J137" s="34">
        <f>+'PACC GENERAL 2026'!$H137*'PACC GENERAL 2026'!$I137</f>
        <v>162000</v>
      </c>
      <c r="K137" s="35"/>
      <c r="L137" s="31"/>
      <c r="M137" s="174"/>
      <c r="N137" s="174"/>
      <c r="O137" s="32" t="s">
        <v>434</v>
      </c>
    </row>
    <row r="138" spans="1:16" s="97" customFormat="1" ht="15.75" customHeight="1">
      <c r="A138" s="105" t="s">
        <v>12</v>
      </c>
      <c r="B138" s="31" t="s">
        <v>1524</v>
      </c>
      <c r="C138" s="65" t="s">
        <v>94</v>
      </c>
      <c r="D138" s="140"/>
      <c r="E138" s="140">
        <v>60</v>
      </c>
      <c r="F138" s="140"/>
      <c r="G138" s="140"/>
      <c r="H138" s="67">
        <f>+Table_1[[#This Row],[Column7]]+Table_1[[#This Row],[Column6]]+Table_1[[#This Row],[Column5]]+Table_1[[#This Row],[Column4]]</f>
        <v>60</v>
      </c>
      <c r="I138" s="38">
        <v>13500</v>
      </c>
      <c r="J138" s="34">
        <f>+'PACC GENERAL 2026'!$H138*'PACC GENERAL 2026'!$I138</f>
        <v>810000</v>
      </c>
      <c r="K138" s="35"/>
      <c r="L138" s="31"/>
      <c r="M138" s="174"/>
      <c r="N138" s="174"/>
      <c r="O138" s="32" t="s">
        <v>434</v>
      </c>
    </row>
    <row r="139" spans="1:16" s="97" customFormat="1" ht="15.75" customHeight="1">
      <c r="A139" s="105" t="s">
        <v>12</v>
      </c>
      <c r="B139" s="31" t="s">
        <v>1525</v>
      </c>
      <c r="C139" s="65" t="s">
        <v>94</v>
      </c>
      <c r="D139" s="140"/>
      <c r="E139" s="140">
        <v>80</v>
      </c>
      <c r="F139" s="140"/>
      <c r="G139" s="140"/>
      <c r="H139" s="67">
        <f>+Table_1[[#This Row],[Column7]]+Table_1[[#This Row],[Column6]]+Table_1[[#This Row],[Column5]]+Table_1[[#This Row],[Column4]]</f>
        <v>80</v>
      </c>
      <c r="I139" s="38">
        <v>13500</v>
      </c>
      <c r="J139" s="34">
        <f>+'PACC GENERAL 2026'!$H139*'PACC GENERAL 2026'!$I139</f>
        <v>1080000</v>
      </c>
      <c r="K139" s="35"/>
      <c r="L139" s="31"/>
      <c r="M139" s="31"/>
      <c r="N139" s="31"/>
      <c r="O139" s="32" t="s">
        <v>434</v>
      </c>
    </row>
    <row r="140" spans="1:16" s="97" customFormat="1" ht="15.75" customHeight="1">
      <c r="A140" s="176" t="s">
        <v>12</v>
      </c>
      <c r="B140" s="174" t="s">
        <v>1526</v>
      </c>
      <c r="C140" s="178" t="s">
        <v>94</v>
      </c>
      <c r="D140" s="181"/>
      <c r="E140" s="181">
        <v>30</v>
      </c>
      <c r="F140" s="181"/>
      <c r="G140" s="181"/>
      <c r="H140" s="67">
        <f>+Table_1[[#This Row],[Column7]]+Table_1[[#This Row],[Column6]]+Table_1[[#This Row],[Column5]]+Table_1[[#This Row],[Column4]]</f>
        <v>30</v>
      </c>
      <c r="I140" s="177">
        <v>7000</v>
      </c>
      <c r="J140" s="201">
        <f>+'PACC GENERAL 2026'!$H140*'PACC GENERAL 2026'!$I140</f>
        <v>210000</v>
      </c>
      <c r="K140" s="186"/>
      <c r="L140" s="174"/>
      <c r="M140" s="174"/>
      <c r="N140" s="179"/>
      <c r="O140" s="32" t="s">
        <v>434</v>
      </c>
    </row>
    <row r="141" spans="1:16" s="97" customFormat="1" ht="15.75" customHeight="1">
      <c r="A141" s="105" t="s">
        <v>12</v>
      </c>
      <c r="B141" s="31" t="s">
        <v>1527</v>
      </c>
      <c r="C141" s="65" t="s">
        <v>94</v>
      </c>
      <c r="D141" s="140"/>
      <c r="E141" s="140">
        <v>100</v>
      </c>
      <c r="F141" s="140"/>
      <c r="G141" s="140"/>
      <c r="H141" s="67">
        <f>+Table_1[[#This Row],[Column7]]+Table_1[[#This Row],[Column6]]+Table_1[[#This Row],[Column5]]+Table_1[[#This Row],[Column4]]</f>
        <v>100</v>
      </c>
      <c r="I141" s="38">
        <v>16443</v>
      </c>
      <c r="J141" s="34">
        <f>+'PACC GENERAL 2026'!$H141*'PACC GENERAL 2026'!$I141</f>
        <v>1644300</v>
      </c>
      <c r="K141" s="35"/>
      <c r="L141" s="31"/>
      <c r="M141" s="31"/>
      <c r="N141" s="31"/>
      <c r="O141" s="32" t="s">
        <v>434</v>
      </c>
    </row>
    <row r="142" spans="1:16" s="97" customFormat="1" ht="15.75" customHeight="1">
      <c r="A142" s="105" t="s">
        <v>12</v>
      </c>
      <c r="B142" s="31" t="s">
        <v>1528</v>
      </c>
      <c r="C142" s="65" t="s">
        <v>94</v>
      </c>
      <c r="D142" s="140"/>
      <c r="E142" s="140">
        <v>100</v>
      </c>
      <c r="F142" s="140"/>
      <c r="G142" s="140"/>
      <c r="H142" s="67">
        <f>+Table_1[[#This Row],[Column7]]+Table_1[[#This Row],[Column6]]+Table_1[[#This Row],[Column5]]+Table_1[[#This Row],[Column4]]</f>
        <v>100</v>
      </c>
      <c r="I142" s="38">
        <v>9480</v>
      </c>
      <c r="J142" s="34">
        <f>+'PACC GENERAL 2026'!$H142*'PACC GENERAL 2026'!$I142</f>
        <v>948000</v>
      </c>
      <c r="K142" s="35"/>
      <c r="L142" s="31"/>
      <c r="M142" s="31"/>
      <c r="N142" s="31"/>
      <c r="O142" s="32" t="s">
        <v>434</v>
      </c>
    </row>
    <row r="143" spans="1:16" s="97" customFormat="1" ht="15.75" customHeight="1">
      <c r="A143" s="105" t="s">
        <v>12</v>
      </c>
      <c r="B143" s="31" t="s">
        <v>1529</v>
      </c>
      <c r="C143" s="65" t="s">
        <v>94</v>
      </c>
      <c r="D143" s="140"/>
      <c r="E143" s="140">
        <v>30</v>
      </c>
      <c r="F143" s="140"/>
      <c r="G143" s="140"/>
      <c r="H143" s="67">
        <f>+Table_1[[#This Row],[Column7]]+Table_1[[#This Row],[Column6]]+Table_1[[#This Row],[Column5]]+Table_1[[#This Row],[Column4]]</f>
        <v>30</v>
      </c>
      <c r="I143" s="38">
        <v>28300</v>
      </c>
      <c r="J143" s="34">
        <f>+'PACC GENERAL 2026'!$H143*'PACC GENERAL 2026'!$I143</f>
        <v>849000</v>
      </c>
      <c r="K143" s="35"/>
      <c r="L143" s="31"/>
      <c r="M143" s="31"/>
      <c r="N143" s="32"/>
      <c r="O143" s="32" t="s">
        <v>434</v>
      </c>
    </row>
    <row r="144" spans="1:16" s="97" customFormat="1" ht="15.75" customHeight="1">
      <c r="A144" s="105" t="s">
        <v>12</v>
      </c>
      <c r="B144" s="31" t="s">
        <v>1530</v>
      </c>
      <c r="C144" s="65" t="s">
        <v>94</v>
      </c>
      <c r="D144" s="140"/>
      <c r="E144" s="140">
        <v>60</v>
      </c>
      <c r="F144" s="140"/>
      <c r="G144" s="140"/>
      <c r="H144" s="67">
        <f>+Table_1[[#This Row],[Column7]]+Table_1[[#This Row],[Column6]]+Table_1[[#This Row],[Column5]]+Table_1[[#This Row],[Column4]]</f>
        <v>60</v>
      </c>
      <c r="I144" s="38">
        <v>18644</v>
      </c>
      <c r="J144" s="34">
        <f>+'PACC GENERAL 2026'!$H144*'PACC GENERAL 2026'!$I144</f>
        <v>1118640</v>
      </c>
      <c r="K144" s="35"/>
      <c r="L144" s="31"/>
      <c r="M144" s="31"/>
      <c r="N144" s="32"/>
      <c r="O144" s="32" t="s">
        <v>434</v>
      </c>
    </row>
    <row r="145" spans="1:16" s="97" customFormat="1" ht="15.75" customHeight="1">
      <c r="A145" s="105" t="s">
        <v>12</v>
      </c>
      <c r="B145" s="31" t="s">
        <v>1531</v>
      </c>
      <c r="C145" s="65" t="s">
        <v>94</v>
      </c>
      <c r="D145" s="140"/>
      <c r="E145" s="140">
        <v>150</v>
      </c>
      <c r="F145" s="140"/>
      <c r="G145" s="140"/>
      <c r="H145" s="67">
        <f>+Table_1[[#This Row],[Column7]]+Table_1[[#This Row],[Column6]]+Table_1[[#This Row],[Column5]]+Table_1[[#This Row],[Column4]]</f>
        <v>150</v>
      </c>
      <c r="I145" s="38">
        <v>18000</v>
      </c>
      <c r="J145" s="34">
        <f>+'PACC GENERAL 2026'!$H145*'PACC GENERAL 2026'!$I145</f>
        <v>2700000</v>
      </c>
      <c r="K145" s="35"/>
      <c r="L145" s="31"/>
      <c r="M145" s="31"/>
      <c r="N145" s="31"/>
      <c r="O145" s="32" t="s">
        <v>434</v>
      </c>
    </row>
    <row r="146" spans="1:16" s="97" customFormat="1" ht="15.75" customHeight="1">
      <c r="A146" s="105" t="s">
        <v>12</v>
      </c>
      <c r="B146" s="31" t="s">
        <v>1532</v>
      </c>
      <c r="C146" s="65" t="s">
        <v>94</v>
      </c>
      <c r="D146" s="140"/>
      <c r="E146" s="140">
        <v>10</v>
      </c>
      <c r="F146" s="140"/>
      <c r="G146" s="140"/>
      <c r="H146" s="67">
        <f>+Table_1[[#This Row],[Column7]]+Table_1[[#This Row],[Column6]]+Table_1[[#This Row],[Column5]]+Table_1[[#This Row],[Column4]]</f>
        <v>10</v>
      </c>
      <c r="I146" s="38">
        <v>10000</v>
      </c>
      <c r="J146" s="34">
        <f>+'PACC GENERAL 2026'!$H146*'PACC GENERAL 2026'!$I146</f>
        <v>100000</v>
      </c>
      <c r="K146" s="35"/>
      <c r="L146" s="31"/>
      <c r="M146" s="31"/>
      <c r="N146" s="31"/>
      <c r="O146" s="32" t="s">
        <v>434</v>
      </c>
      <c r="P146" s="320"/>
    </row>
    <row r="147" spans="1:16" s="97" customFormat="1" ht="15.75" customHeight="1">
      <c r="A147" s="105" t="s">
        <v>12</v>
      </c>
      <c r="B147" s="31" t="s">
        <v>1533</v>
      </c>
      <c r="C147" s="65" t="s">
        <v>94</v>
      </c>
      <c r="D147" s="140"/>
      <c r="E147" s="140">
        <v>40</v>
      </c>
      <c r="F147" s="140"/>
      <c r="G147" s="140"/>
      <c r="H147" s="67">
        <f>+Table_1[[#This Row],[Column7]]+Table_1[[#This Row],[Column6]]+Table_1[[#This Row],[Column5]]+Table_1[[#This Row],[Column4]]</f>
        <v>40</v>
      </c>
      <c r="I147" s="38">
        <v>8500</v>
      </c>
      <c r="J147" s="34">
        <f>+'PACC GENERAL 2026'!$H147*'PACC GENERAL 2026'!$I147</f>
        <v>340000</v>
      </c>
      <c r="K147" s="35"/>
      <c r="L147" s="31"/>
      <c r="M147" s="31"/>
      <c r="N147" s="31"/>
      <c r="O147" s="32" t="s">
        <v>434</v>
      </c>
      <c r="P147" s="320"/>
    </row>
    <row r="148" spans="1:16" s="97" customFormat="1" ht="15.75" customHeight="1">
      <c r="A148" s="105" t="s">
        <v>12</v>
      </c>
      <c r="B148" s="31" t="s">
        <v>1534</v>
      </c>
      <c r="C148" s="65" t="s">
        <v>94</v>
      </c>
      <c r="D148" s="140"/>
      <c r="E148" s="140">
        <v>20</v>
      </c>
      <c r="F148" s="140"/>
      <c r="G148" s="140"/>
      <c r="H148" s="67">
        <f>+Table_1[[#This Row],[Column7]]+Table_1[[#This Row],[Column6]]+Table_1[[#This Row],[Column5]]+Table_1[[#This Row],[Column4]]</f>
        <v>20</v>
      </c>
      <c r="I148" s="38">
        <v>8000</v>
      </c>
      <c r="J148" s="34">
        <f>+'PACC GENERAL 2026'!$H148*'PACC GENERAL 2026'!$I148</f>
        <v>160000</v>
      </c>
      <c r="K148" s="35"/>
      <c r="L148" s="31"/>
      <c r="M148" s="31"/>
      <c r="N148" s="31"/>
      <c r="O148" s="32" t="s">
        <v>434</v>
      </c>
      <c r="P148" s="320"/>
    </row>
    <row r="149" spans="1:16" s="97" customFormat="1" ht="15.75" customHeight="1">
      <c r="A149" s="105" t="s">
        <v>12</v>
      </c>
      <c r="B149" s="31" t="s">
        <v>1535</v>
      </c>
      <c r="C149" s="65" t="s">
        <v>94</v>
      </c>
      <c r="D149" s="140"/>
      <c r="E149" s="140">
        <v>4</v>
      </c>
      <c r="F149" s="140"/>
      <c r="G149" s="140"/>
      <c r="H149" s="67">
        <f>+Table_1[[#This Row],[Column7]]+Table_1[[#This Row],[Column6]]+Table_1[[#This Row],[Column5]]+Table_1[[#This Row],[Column4]]</f>
        <v>4</v>
      </c>
      <c r="I149" s="38">
        <v>1500</v>
      </c>
      <c r="J149" s="34">
        <f>+'PACC GENERAL 2026'!$H149*'PACC GENERAL 2026'!$I149</f>
        <v>6000</v>
      </c>
      <c r="K149" s="35"/>
      <c r="L149" s="31"/>
      <c r="M149" s="31"/>
      <c r="N149" s="31"/>
      <c r="O149" s="32" t="s">
        <v>434</v>
      </c>
      <c r="P149" s="320"/>
    </row>
    <row r="150" spans="1:16" s="97" customFormat="1" ht="15.75" customHeight="1">
      <c r="A150" s="105" t="s">
        <v>12</v>
      </c>
      <c r="B150" s="31" t="s">
        <v>1536</v>
      </c>
      <c r="C150" s="65" t="s">
        <v>94</v>
      </c>
      <c r="D150" s="140"/>
      <c r="E150" s="140">
        <v>1</v>
      </c>
      <c r="F150" s="140"/>
      <c r="G150" s="140"/>
      <c r="H150" s="67">
        <f>+Table_1[[#This Row],[Column7]]+Table_1[[#This Row],[Column6]]+Table_1[[#This Row],[Column5]]+Table_1[[#This Row],[Column4]]</f>
        <v>1</v>
      </c>
      <c r="I150" s="38">
        <v>70000</v>
      </c>
      <c r="J150" s="34">
        <f>+'PACC GENERAL 2026'!$H150*'PACC GENERAL 2026'!$I150</f>
        <v>70000</v>
      </c>
      <c r="K150" s="35"/>
      <c r="L150" s="31"/>
      <c r="M150" s="31"/>
      <c r="N150" s="31"/>
      <c r="O150" s="32" t="s">
        <v>434</v>
      </c>
      <c r="P150" s="320"/>
    </row>
    <row r="151" spans="1:16" s="97" customFormat="1" ht="15.75" customHeight="1">
      <c r="A151" s="105" t="s">
        <v>12</v>
      </c>
      <c r="B151" s="31" t="s">
        <v>1537</v>
      </c>
      <c r="C151" s="65" t="s">
        <v>94</v>
      </c>
      <c r="D151" s="140"/>
      <c r="E151" s="140">
        <v>2</v>
      </c>
      <c r="F151" s="140"/>
      <c r="G151" s="140"/>
      <c r="H151" s="67">
        <f>+Table_1[[#This Row],[Column7]]+Table_1[[#This Row],[Column6]]+Table_1[[#This Row],[Column5]]+Table_1[[#This Row],[Column4]]</f>
        <v>2</v>
      </c>
      <c r="I151" s="38">
        <v>18000</v>
      </c>
      <c r="J151" s="34">
        <f>+'PACC GENERAL 2026'!$H151*'PACC GENERAL 2026'!$I151</f>
        <v>36000</v>
      </c>
      <c r="K151" s="35"/>
      <c r="L151" s="31"/>
      <c r="M151" s="31"/>
      <c r="N151" s="31"/>
      <c r="O151" s="32" t="s">
        <v>434</v>
      </c>
      <c r="P151" s="320"/>
    </row>
    <row r="152" spans="1:16" s="97" customFormat="1" ht="15.75" customHeight="1">
      <c r="A152" s="105" t="s">
        <v>12</v>
      </c>
      <c r="B152" s="31" t="s">
        <v>1538</v>
      </c>
      <c r="C152" s="65" t="s">
        <v>94</v>
      </c>
      <c r="D152" s="140"/>
      <c r="E152" s="140">
        <v>6</v>
      </c>
      <c r="F152" s="140"/>
      <c r="G152" s="140"/>
      <c r="H152" s="67">
        <f>+Table_1[[#This Row],[Column7]]+Table_1[[#This Row],[Column6]]+Table_1[[#This Row],[Column5]]+Table_1[[#This Row],[Column4]]</f>
        <v>6</v>
      </c>
      <c r="I152" s="38">
        <v>9000</v>
      </c>
      <c r="J152" s="34">
        <f>+'PACC GENERAL 2026'!$H152*'PACC GENERAL 2026'!$I152</f>
        <v>54000</v>
      </c>
      <c r="K152" s="35"/>
      <c r="L152" s="31"/>
      <c r="M152" s="31"/>
      <c r="N152" s="31"/>
      <c r="O152" s="32" t="s">
        <v>434</v>
      </c>
      <c r="P152" s="320"/>
    </row>
    <row r="153" spans="1:16" s="97" customFormat="1" ht="15.75" customHeight="1">
      <c r="A153" s="105" t="s">
        <v>12</v>
      </c>
      <c r="B153" s="31" t="s">
        <v>1539</v>
      </c>
      <c r="C153" s="65" t="s">
        <v>94</v>
      </c>
      <c r="D153" s="140"/>
      <c r="E153" s="140">
        <v>3</v>
      </c>
      <c r="F153" s="140"/>
      <c r="G153" s="140"/>
      <c r="H153" s="67">
        <f>+Table_1[[#This Row],[Column7]]+Table_1[[#This Row],[Column6]]+Table_1[[#This Row],[Column5]]+Table_1[[#This Row],[Column4]]</f>
        <v>3</v>
      </c>
      <c r="I153" s="38">
        <v>10000</v>
      </c>
      <c r="J153" s="34">
        <f>+'PACC GENERAL 2026'!$H153*'PACC GENERAL 2026'!$I153</f>
        <v>30000</v>
      </c>
      <c r="K153" s="35"/>
      <c r="L153" s="31"/>
      <c r="M153" s="31"/>
      <c r="N153" s="31"/>
      <c r="O153" s="32" t="s">
        <v>434</v>
      </c>
      <c r="P153" s="320"/>
    </row>
    <row r="154" spans="1:16" s="97" customFormat="1" ht="15.75" customHeight="1">
      <c r="A154" s="105" t="s">
        <v>12</v>
      </c>
      <c r="B154" s="31" t="s">
        <v>1540</v>
      </c>
      <c r="C154" s="65" t="s">
        <v>94</v>
      </c>
      <c r="D154" s="140"/>
      <c r="E154" s="140">
        <v>3</v>
      </c>
      <c r="F154" s="140"/>
      <c r="G154" s="140"/>
      <c r="H154" s="67">
        <f>+Table_1[[#This Row],[Column7]]+Table_1[[#This Row],[Column6]]+Table_1[[#This Row],[Column5]]+Table_1[[#This Row],[Column4]]</f>
        <v>3</v>
      </c>
      <c r="I154" s="38">
        <v>150000</v>
      </c>
      <c r="J154" s="34">
        <f>+'PACC GENERAL 2026'!$H154*'PACC GENERAL 2026'!$I154</f>
        <v>450000</v>
      </c>
      <c r="K154" s="35"/>
      <c r="L154" s="31"/>
      <c r="M154" s="31"/>
      <c r="N154" s="31"/>
      <c r="O154" s="32" t="s">
        <v>434</v>
      </c>
      <c r="P154" s="320"/>
    </row>
    <row r="155" spans="1:16" s="97" customFormat="1" ht="15.75" customHeight="1">
      <c r="A155" s="105" t="s">
        <v>12</v>
      </c>
      <c r="B155" s="31" t="s">
        <v>1541</v>
      </c>
      <c r="C155" s="65" t="s">
        <v>94</v>
      </c>
      <c r="D155" s="140"/>
      <c r="E155" s="140">
        <v>2</v>
      </c>
      <c r="F155" s="140"/>
      <c r="G155" s="140"/>
      <c r="H155" s="67">
        <f>+Table_1[[#This Row],[Column7]]+Table_1[[#This Row],[Column6]]+Table_1[[#This Row],[Column5]]+Table_1[[#This Row],[Column4]]</f>
        <v>2</v>
      </c>
      <c r="I155" s="38">
        <v>9000</v>
      </c>
      <c r="J155" s="34">
        <f>+'PACC GENERAL 2026'!$H155*'PACC GENERAL 2026'!$I155</f>
        <v>18000</v>
      </c>
      <c r="K155" s="35"/>
      <c r="L155" s="31"/>
      <c r="M155" s="31"/>
      <c r="N155" s="31"/>
      <c r="O155" s="32" t="s">
        <v>434</v>
      </c>
      <c r="P155" s="320"/>
    </row>
    <row r="156" spans="1:16" s="97" customFormat="1" ht="15.75" customHeight="1">
      <c r="A156" s="105" t="s">
        <v>12</v>
      </c>
      <c r="B156" s="31" t="s">
        <v>1542</v>
      </c>
      <c r="C156" s="65" t="s">
        <v>94</v>
      </c>
      <c r="D156" s="140"/>
      <c r="E156" s="140">
        <v>2</v>
      </c>
      <c r="F156" s="140"/>
      <c r="G156" s="140"/>
      <c r="H156" s="67">
        <f>+Table_1[[#This Row],[Column7]]+Table_1[[#This Row],[Column6]]+Table_1[[#This Row],[Column5]]+Table_1[[#This Row],[Column4]]</f>
        <v>2</v>
      </c>
      <c r="I156" s="38">
        <v>13000</v>
      </c>
      <c r="J156" s="34">
        <f>+'PACC GENERAL 2026'!$H156*'PACC GENERAL 2026'!$I156</f>
        <v>26000</v>
      </c>
      <c r="K156" s="35"/>
      <c r="L156" s="31"/>
      <c r="M156" s="31"/>
      <c r="N156" s="31"/>
      <c r="O156" s="32" t="s">
        <v>434</v>
      </c>
      <c r="P156" s="320"/>
    </row>
    <row r="157" spans="1:16" s="97" customFormat="1" ht="15.75" customHeight="1">
      <c r="A157" s="105" t="s">
        <v>12</v>
      </c>
      <c r="B157" s="31" t="s">
        <v>1543</v>
      </c>
      <c r="C157" s="65" t="s">
        <v>94</v>
      </c>
      <c r="D157" s="140"/>
      <c r="E157" s="140">
        <v>6</v>
      </c>
      <c r="F157" s="140"/>
      <c r="G157" s="140"/>
      <c r="H157" s="67">
        <f>+Table_1[[#This Row],[Column7]]+Table_1[[#This Row],[Column6]]+Table_1[[#This Row],[Column5]]+Table_1[[#This Row],[Column4]]</f>
        <v>6</v>
      </c>
      <c r="I157" s="38">
        <v>6000</v>
      </c>
      <c r="J157" s="34">
        <f>+'PACC GENERAL 2026'!$H157*'PACC GENERAL 2026'!$I157</f>
        <v>36000</v>
      </c>
      <c r="K157" s="35"/>
      <c r="L157" s="31"/>
      <c r="M157" s="31"/>
      <c r="N157" s="31"/>
      <c r="O157" s="32" t="s">
        <v>434</v>
      </c>
      <c r="P157" s="320"/>
    </row>
    <row r="158" spans="1:16" s="97" customFormat="1" ht="15.75" customHeight="1">
      <c r="A158" s="105" t="s">
        <v>12</v>
      </c>
      <c r="B158" s="31" t="s">
        <v>1544</v>
      </c>
      <c r="C158" s="65" t="s">
        <v>94</v>
      </c>
      <c r="D158" s="140"/>
      <c r="E158" s="140">
        <v>2</v>
      </c>
      <c r="F158" s="140"/>
      <c r="G158" s="140"/>
      <c r="H158" s="67">
        <f>+Table_1[[#This Row],[Column7]]+Table_1[[#This Row],[Column6]]+Table_1[[#This Row],[Column5]]+Table_1[[#This Row],[Column4]]</f>
        <v>2</v>
      </c>
      <c r="I158" s="38">
        <v>150000</v>
      </c>
      <c r="J158" s="34">
        <f>+'PACC GENERAL 2026'!$H158*'PACC GENERAL 2026'!$I158</f>
        <v>300000</v>
      </c>
      <c r="K158" s="35"/>
      <c r="L158" s="31"/>
      <c r="M158" s="31"/>
      <c r="N158" s="31"/>
      <c r="O158" s="32" t="s">
        <v>434</v>
      </c>
      <c r="P158" s="320"/>
    </row>
    <row r="159" spans="1:16" s="97" customFormat="1" ht="15.75" customHeight="1">
      <c r="A159" s="105" t="s">
        <v>12</v>
      </c>
      <c r="B159" s="31" t="s">
        <v>1545</v>
      </c>
      <c r="C159" s="65" t="s">
        <v>94</v>
      </c>
      <c r="D159" s="140"/>
      <c r="E159" s="140">
        <v>2</v>
      </c>
      <c r="F159" s="140"/>
      <c r="G159" s="140"/>
      <c r="H159" s="67">
        <f>+Table_1[[#This Row],[Column7]]+Table_1[[#This Row],[Column6]]+Table_1[[#This Row],[Column5]]+Table_1[[#This Row],[Column4]]</f>
        <v>2</v>
      </c>
      <c r="I159" s="38">
        <v>10000</v>
      </c>
      <c r="J159" s="34">
        <f>+'PACC GENERAL 2026'!$H159*'PACC GENERAL 2026'!$I159</f>
        <v>20000</v>
      </c>
      <c r="K159" s="35"/>
      <c r="L159" s="31"/>
      <c r="M159" s="31"/>
      <c r="N159" s="31"/>
      <c r="O159" s="32" t="s">
        <v>434</v>
      </c>
      <c r="P159" s="320"/>
    </row>
    <row r="160" spans="1:16" s="97" customFormat="1" ht="15.75" customHeight="1">
      <c r="A160" s="105" t="s">
        <v>12</v>
      </c>
      <c r="B160" s="31" t="s">
        <v>1546</v>
      </c>
      <c r="C160" s="65" t="s">
        <v>94</v>
      </c>
      <c r="D160" s="140"/>
      <c r="E160" s="140">
        <v>3</v>
      </c>
      <c r="F160" s="140"/>
      <c r="G160" s="140"/>
      <c r="H160" s="67">
        <f>+Table_1[[#This Row],[Column7]]+Table_1[[#This Row],[Column6]]+Table_1[[#This Row],[Column5]]+Table_1[[#This Row],[Column4]]</f>
        <v>3</v>
      </c>
      <c r="I160" s="38">
        <v>9000</v>
      </c>
      <c r="J160" s="34">
        <f>+'PACC GENERAL 2026'!$H160*'PACC GENERAL 2026'!$I160</f>
        <v>27000</v>
      </c>
      <c r="K160" s="35"/>
      <c r="L160" s="31"/>
      <c r="M160" s="31"/>
      <c r="N160" s="31"/>
      <c r="O160" s="32" t="s">
        <v>434</v>
      </c>
      <c r="P160" s="320"/>
    </row>
    <row r="161" spans="1:16" s="97" customFormat="1" ht="15.75" customHeight="1">
      <c r="A161" s="105" t="s">
        <v>12</v>
      </c>
      <c r="B161" s="31" t="s">
        <v>1547</v>
      </c>
      <c r="C161" s="65" t="s">
        <v>94</v>
      </c>
      <c r="D161" s="140"/>
      <c r="E161" s="140">
        <v>2</v>
      </c>
      <c r="F161" s="140"/>
      <c r="G161" s="140"/>
      <c r="H161" s="67">
        <f>+Table_1[[#This Row],[Column7]]+Table_1[[#This Row],[Column6]]+Table_1[[#This Row],[Column5]]+Table_1[[#This Row],[Column4]]</f>
        <v>2</v>
      </c>
      <c r="I161" s="38">
        <v>8000</v>
      </c>
      <c r="J161" s="34">
        <f>+'PACC GENERAL 2026'!$H161*'PACC GENERAL 2026'!$I161</f>
        <v>16000</v>
      </c>
      <c r="K161" s="35"/>
      <c r="L161" s="31"/>
      <c r="M161" s="31"/>
      <c r="N161" s="31"/>
      <c r="O161" s="32" t="s">
        <v>434</v>
      </c>
      <c r="P161" s="320"/>
    </row>
    <row r="162" spans="1:16" s="97" customFormat="1" ht="15.75" customHeight="1">
      <c r="A162" s="105" t="s">
        <v>12</v>
      </c>
      <c r="B162" s="31" t="s">
        <v>1548</v>
      </c>
      <c r="C162" s="65" t="s">
        <v>94</v>
      </c>
      <c r="D162" s="140"/>
      <c r="E162" s="140">
        <v>75</v>
      </c>
      <c r="F162" s="140"/>
      <c r="G162" s="140"/>
      <c r="H162" s="67">
        <f>+Table_1[[#This Row],[Column7]]+Table_1[[#This Row],[Column6]]+Table_1[[#This Row],[Column5]]+Table_1[[#This Row],[Column4]]</f>
        <v>75</v>
      </c>
      <c r="I162" s="38">
        <v>9000</v>
      </c>
      <c r="J162" s="34">
        <f>+'PACC GENERAL 2026'!$H162*'PACC GENERAL 2026'!$I162</f>
        <v>675000</v>
      </c>
      <c r="K162" s="35"/>
      <c r="L162" s="31"/>
      <c r="M162" s="31"/>
      <c r="N162" s="31"/>
      <c r="O162" s="32" t="s">
        <v>434</v>
      </c>
      <c r="P162" s="320"/>
    </row>
    <row r="163" spans="1:16" s="97" customFormat="1" ht="15.75" customHeight="1">
      <c r="A163" s="105" t="s">
        <v>12</v>
      </c>
      <c r="B163" s="31" t="s">
        <v>1549</v>
      </c>
      <c r="C163" s="65" t="s">
        <v>94</v>
      </c>
      <c r="D163" s="140"/>
      <c r="E163" s="140">
        <v>40</v>
      </c>
      <c r="F163" s="140"/>
      <c r="G163" s="140"/>
      <c r="H163" s="67">
        <f>+Table_1[[#This Row],[Column7]]+Table_1[[#This Row],[Column6]]+Table_1[[#This Row],[Column5]]+Table_1[[#This Row],[Column4]]</f>
        <v>40</v>
      </c>
      <c r="I163" s="38">
        <v>10500</v>
      </c>
      <c r="J163" s="34">
        <f>+'PACC GENERAL 2026'!$H163*'PACC GENERAL 2026'!$I163</f>
        <v>420000</v>
      </c>
      <c r="K163" s="35"/>
      <c r="L163" s="31"/>
      <c r="M163" s="31"/>
      <c r="N163" s="31"/>
      <c r="O163" s="32" t="s">
        <v>434</v>
      </c>
      <c r="P163" s="320"/>
    </row>
    <row r="164" spans="1:16" s="97" customFormat="1" ht="15.75" customHeight="1">
      <c r="A164" s="105" t="s">
        <v>12</v>
      </c>
      <c r="B164" s="31" t="s">
        <v>1550</v>
      </c>
      <c r="C164" s="65" t="s">
        <v>94</v>
      </c>
      <c r="D164" s="140"/>
      <c r="E164" s="140">
        <v>25</v>
      </c>
      <c r="F164" s="140"/>
      <c r="G164" s="140"/>
      <c r="H164" s="67">
        <f>+Table_1[[#This Row],[Column7]]+Table_1[[#This Row],[Column6]]+Table_1[[#This Row],[Column5]]+Table_1[[#This Row],[Column4]]</f>
        <v>25</v>
      </c>
      <c r="I164" s="38">
        <v>37000</v>
      </c>
      <c r="J164" s="34">
        <f>+'PACC GENERAL 2026'!$H164*'PACC GENERAL 2026'!$I164</f>
        <v>925000</v>
      </c>
      <c r="K164" s="35"/>
      <c r="L164" s="31"/>
      <c r="M164" s="31"/>
      <c r="N164" s="31"/>
      <c r="O164" s="32" t="s">
        <v>434</v>
      </c>
      <c r="P164" s="320"/>
    </row>
    <row r="165" spans="1:16" s="97" customFormat="1" ht="15.75" customHeight="1">
      <c r="A165" s="105" t="s">
        <v>12</v>
      </c>
      <c r="B165" s="31" t="s">
        <v>1551</v>
      </c>
      <c r="C165" s="65" t="s">
        <v>94</v>
      </c>
      <c r="D165" s="140"/>
      <c r="E165" s="140">
        <v>20</v>
      </c>
      <c r="F165" s="140"/>
      <c r="G165" s="140"/>
      <c r="H165" s="67">
        <f>+Table_1[[#This Row],[Column7]]+Table_1[[#This Row],[Column6]]+Table_1[[#This Row],[Column5]]+Table_1[[#This Row],[Column4]]</f>
        <v>20</v>
      </c>
      <c r="I165" s="38">
        <v>15000</v>
      </c>
      <c r="J165" s="34">
        <f>+'PACC GENERAL 2026'!$H165*'PACC GENERAL 2026'!$I165</f>
        <v>300000</v>
      </c>
      <c r="K165" s="35"/>
      <c r="L165" s="31"/>
      <c r="M165" s="31"/>
      <c r="N165" s="31"/>
      <c r="O165" s="32" t="s">
        <v>434</v>
      </c>
      <c r="P165" s="320"/>
    </row>
    <row r="166" spans="1:16" s="97" customFormat="1" ht="15.75" customHeight="1">
      <c r="A166" s="105" t="s">
        <v>12</v>
      </c>
      <c r="B166" s="31" t="s">
        <v>1552</v>
      </c>
      <c r="C166" s="65" t="s">
        <v>94</v>
      </c>
      <c r="D166" s="140"/>
      <c r="E166" s="140">
        <v>10</v>
      </c>
      <c r="F166" s="140"/>
      <c r="G166" s="140"/>
      <c r="H166" s="67">
        <f>+Table_1[[#This Row],[Column7]]+Table_1[[#This Row],[Column6]]+Table_1[[#This Row],[Column5]]+Table_1[[#This Row],[Column4]]</f>
        <v>10</v>
      </c>
      <c r="I166" s="38">
        <v>18000</v>
      </c>
      <c r="J166" s="34">
        <f>+'PACC GENERAL 2026'!$H166*'PACC GENERAL 2026'!$I166</f>
        <v>180000</v>
      </c>
      <c r="K166" s="35"/>
      <c r="L166" s="31"/>
      <c r="M166" s="31"/>
      <c r="N166" s="31"/>
      <c r="O166" s="32" t="s">
        <v>434</v>
      </c>
      <c r="P166" s="320"/>
    </row>
    <row r="167" spans="1:16" s="97" customFormat="1" ht="15.75" customHeight="1">
      <c r="A167" s="105" t="s">
        <v>12</v>
      </c>
      <c r="B167" s="31" t="s">
        <v>1553</v>
      </c>
      <c r="C167" s="65" t="s">
        <v>94</v>
      </c>
      <c r="D167" s="140"/>
      <c r="E167" s="140">
        <v>10</v>
      </c>
      <c r="F167" s="140"/>
      <c r="G167" s="140"/>
      <c r="H167" s="67">
        <f>+Table_1[[#This Row],[Column7]]+Table_1[[#This Row],[Column6]]+Table_1[[#This Row],[Column5]]+Table_1[[#This Row],[Column4]]</f>
        <v>10</v>
      </c>
      <c r="I167" s="38">
        <v>25000</v>
      </c>
      <c r="J167" s="34">
        <f>+'PACC GENERAL 2026'!$H167*'PACC GENERAL 2026'!$I167</f>
        <v>250000</v>
      </c>
      <c r="K167" s="35"/>
      <c r="L167" s="31"/>
      <c r="M167" s="31"/>
      <c r="N167" s="31"/>
      <c r="O167" s="32" t="s">
        <v>434</v>
      </c>
      <c r="P167" s="320"/>
    </row>
    <row r="168" spans="1:16" s="97" customFormat="1" ht="15.75" customHeight="1">
      <c r="A168" s="105" t="s">
        <v>12</v>
      </c>
      <c r="B168" s="31" t="s">
        <v>1554</v>
      </c>
      <c r="C168" s="65" t="s">
        <v>94</v>
      </c>
      <c r="D168" s="140"/>
      <c r="E168" s="140">
        <v>10</v>
      </c>
      <c r="F168" s="140"/>
      <c r="G168" s="140"/>
      <c r="H168" s="67">
        <f>+Table_1[[#This Row],[Column7]]+Table_1[[#This Row],[Column6]]+Table_1[[#This Row],[Column5]]+Table_1[[#This Row],[Column4]]</f>
        <v>10</v>
      </c>
      <c r="I168" s="38">
        <v>7000</v>
      </c>
      <c r="J168" s="34">
        <f>+'PACC GENERAL 2026'!$H168*'PACC GENERAL 2026'!$I168</f>
        <v>70000</v>
      </c>
      <c r="K168" s="35"/>
      <c r="L168" s="31"/>
      <c r="M168" s="31"/>
      <c r="N168" s="31"/>
      <c r="O168" s="32" t="s">
        <v>434</v>
      </c>
      <c r="P168" s="320"/>
    </row>
    <row r="169" spans="1:16" s="97" customFormat="1" ht="15.75" customHeight="1">
      <c r="A169" s="105" t="s">
        <v>12</v>
      </c>
      <c r="B169" s="31" t="s">
        <v>1555</v>
      </c>
      <c r="C169" s="65" t="s">
        <v>94</v>
      </c>
      <c r="D169" s="140"/>
      <c r="E169" s="140">
        <v>10</v>
      </c>
      <c r="F169" s="140"/>
      <c r="G169" s="140"/>
      <c r="H169" s="67">
        <f>+Table_1[[#This Row],[Column7]]+Table_1[[#This Row],[Column6]]+Table_1[[#This Row],[Column5]]+Table_1[[#This Row],[Column4]]</f>
        <v>10</v>
      </c>
      <c r="I169" s="38">
        <v>18000</v>
      </c>
      <c r="J169" s="34">
        <f>+'PACC GENERAL 2026'!$H169*'PACC GENERAL 2026'!$I169</f>
        <v>180000</v>
      </c>
      <c r="K169" s="35"/>
      <c r="L169" s="31"/>
      <c r="M169" s="31"/>
      <c r="N169" s="31"/>
      <c r="O169" s="32" t="s">
        <v>434</v>
      </c>
      <c r="P169" s="320"/>
    </row>
    <row r="170" spans="1:16" s="97" customFormat="1" ht="15.75" customHeight="1">
      <c r="A170" s="105" t="s">
        <v>12</v>
      </c>
      <c r="B170" s="31" t="s">
        <v>1556</v>
      </c>
      <c r="C170" s="65" t="s">
        <v>94</v>
      </c>
      <c r="D170" s="140"/>
      <c r="E170" s="140">
        <v>10</v>
      </c>
      <c r="F170" s="140"/>
      <c r="G170" s="140"/>
      <c r="H170" s="67">
        <f>+Table_1[[#This Row],[Column7]]+Table_1[[#This Row],[Column6]]+Table_1[[#This Row],[Column5]]+Table_1[[#This Row],[Column4]]</f>
        <v>10</v>
      </c>
      <c r="I170" s="38">
        <v>25000</v>
      </c>
      <c r="J170" s="34">
        <f>+'PACC GENERAL 2026'!$H170*'PACC GENERAL 2026'!$I170</f>
        <v>250000</v>
      </c>
      <c r="K170" s="35"/>
      <c r="L170" s="31"/>
      <c r="M170" s="31"/>
      <c r="N170" s="31"/>
      <c r="O170" s="32" t="s">
        <v>434</v>
      </c>
      <c r="P170" s="320"/>
    </row>
    <row r="171" spans="1:16" s="97" customFormat="1" ht="15.75" customHeight="1">
      <c r="A171" s="105" t="s">
        <v>12</v>
      </c>
      <c r="B171" s="31" t="s">
        <v>1557</v>
      </c>
      <c r="C171" s="65" t="s">
        <v>94</v>
      </c>
      <c r="D171" s="140"/>
      <c r="E171" s="140">
        <v>10</v>
      </c>
      <c r="F171" s="140"/>
      <c r="G171" s="140"/>
      <c r="H171" s="67">
        <f>+Table_1[[#This Row],[Column7]]+Table_1[[#This Row],[Column6]]+Table_1[[#This Row],[Column5]]+Table_1[[#This Row],[Column4]]</f>
        <v>10</v>
      </c>
      <c r="I171" s="38">
        <v>7000</v>
      </c>
      <c r="J171" s="34">
        <f>+'PACC GENERAL 2026'!$H171*'PACC GENERAL 2026'!$I171</f>
        <v>70000</v>
      </c>
      <c r="K171" s="35"/>
      <c r="L171" s="31"/>
      <c r="M171" s="31"/>
      <c r="N171" s="31"/>
      <c r="O171" s="32" t="s">
        <v>434</v>
      </c>
      <c r="P171" s="320"/>
    </row>
    <row r="172" spans="1:16" s="97" customFormat="1" ht="15.75" customHeight="1">
      <c r="A172" s="105" t="s">
        <v>12</v>
      </c>
      <c r="B172" s="31" t="s">
        <v>1558</v>
      </c>
      <c r="C172" s="65" t="s">
        <v>94</v>
      </c>
      <c r="D172" s="140"/>
      <c r="E172" s="140">
        <v>10</v>
      </c>
      <c r="F172" s="140"/>
      <c r="G172" s="140"/>
      <c r="H172" s="67">
        <f>+Table_1[[#This Row],[Column7]]+Table_1[[#This Row],[Column6]]+Table_1[[#This Row],[Column5]]+Table_1[[#This Row],[Column4]]</f>
        <v>10</v>
      </c>
      <c r="I172" s="38">
        <v>12000</v>
      </c>
      <c r="J172" s="34">
        <f>+'PACC GENERAL 2026'!$H172*'PACC GENERAL 2026'!$I172</f>
        <v>120000</v>
      </c>
      <c r="K172" s="35"/>
      <c r="L172" s="31"/>
      <c r="M172" s="31"/>
      <c r="N172" s="31"/>
      <c r="O172" s="32" t="s">
        <v>434</v>
      </c>
      <c r="P172" s="320"/>
    </row>
    <row r="173" spans="1:16" s="97" customFormat="1" ht="15.75" customHeight="1">
      <c r="A173" s="105" t="s">
        <v>12</v>
      </c>
      <c r="B173" s="31" t="s">
        <v>1559</v>
      </c>
      <c r="C173" s="65" t="s">
        <v>94</v>
      </c>
      <c r="D173" s="140"/>
      <c r="E173" s="140">
        <v>10</v>
      </c>
      <c r="F173" s="140"/>
      <c r="G173" s="140"/>
      <c r="H173" s="67">
        <f>+Table_1[[#This Row],[Column7]]+Table_1[[#This Row],[Column6]]+Table_1[[#This Row],[Column5]]+Table_1[[#This Row],[Column4]]</f>
        <v>10</v>
      </c>
      <c r="I173" s="38">
        <v>18000</v>
      </c>
      <c r="J173" s="34">
        <f>+'PACC GENERAL 2026'!$H173*'PACC GENERAL 2026'!$I173</f>
        <v>180000</v>
      </c>
      <c r="K173" s="35"/>
      <c r="L173" s="31"/>
      <c r="M173" s="31"/>
      <c r="N173" s="31"/>
      <c r="O173" s="32" t="s">
        <v>434</v>
      </c>
      <c r="P173" s="320"/>
    </row>
    <row r="174" spans="1:16" s="97" customFormat="1" ht="15.75" customHeight="1">
      <c r="A174" s="105" t="s">
        <v>12</v>
      </c>
      <c r="B174" s="31" t="s">
        <v>1560</v>
      </c>
      <c r="C174" s="65" t="s">
        <v>94</v>
      </c>
      <c r="D174" s="140"/>
      <c r="E174" s="140">
        <v>10</v>
      </c>
      <c r="F174" s="140"/>
      <c r="G174" s="140"/>
      <c r="H174" s="67">
        <f>+Table_1[[#This Row],[Column7]]+Table_1[[#This Row],[Column6]]+Table_1[[#This Row],[Column5]]+Table_1[[#This Row],[Column4]]</f>
        <v>10</v>
      </c>
      <c r="I174" s="38">
        <v>5000</v>
      </c>
      <c r="J174" s="34">
        <f>+'PACC GENERAL 2026'!$H174*'PACC GENERAL 2026'!$I174</f>
        <v>50000</v>
      </c>
      <c r="K174" s="35"/>
      <c r="L174" s="31"/>
      <c r="M174" s="31"/>
      <c r="N174" s="31"/>
      <c r="O174" s="32" t="s">
        <v>434</v>
      </c>
      <c r="P174" s="320"/>
    </row>
    <row r="175" spans="1:16" s="418" customFormat="1" ht="15.5">
      <c r="A175" s="126" t="s">
        <v>12</v>
      </c>
      <c r="B175" s="126" t="s">
        <v>843</v>
      </c>
      <c r="C175" s="420" t="s">
        <v>844</v>
      </c>
      <c r="D175" s="421"/>
      <c r="E175" s="440">
        <v>5</v>
      </c>
      <c r="F175" s="416"/>
      <c r="G175" s="442"/>
      <c r="H175" s="410">
        <f>+Table_1[[#This Row],[Column7]]+Table_1[[#This Row],[Column6]]+Table_1[[#This Row],[Column5]]+Table_1[[#This Row],[Column4]]</f>
        <v>5</v>
      </c>
      <c r="I175" s="274">
        <v>85000</v>
      </c>
      <c r="J175" s="432">
        <f>'PACC GENERAL 2026'!$I175*'PACC GENERAL 2026'!$H175</f>
        <v>425000</v>
      </c>
      <c r="K175" s="423"/>
      <c r="L175" s="126"/>
      <c r="M175" s="126"/>
      <c r="N175" s="420"/>
      <c r="O175" s="420" t="s">
        <v>434</v>
      </c>
      <c r="P175" s="417"/>
    </row>
    <row r="176" spans="1:16" s="97" customFormat="1" ht="15.75" customHeight="1">
      <c r="A176" s="105" t="s">
        <v>12</v>
      </c>
      <c r="B176" s="31" t="s">
        <v>1561</v>
      </c>
      <c r="C176" s="65" t="s">
        <v>94</v>
      </c>
      <c r="D176" s="140"/>
      <c r="E176" s="140">
        <v>10</v>
      </c>
      <c r="F176" s="140"/>
      <c r="G176" s="140"/>
      <c r="H176" s="67">
        <f>+Table_1[[#This Row],[Column7]]+Table_1[[#This Row],[Column6]]+Table_1[[#This Row],[Column5]]+Table_1[[#This Row],[Column4]]</f>
        <v>10</v>
      </c>
      <c r="I176" s="38">
        <v>2500</v>
      </c>
      <c r="J176" s="34">
        <f>+'PACC GENERAL 2026'!$H176*'PACC GENERAL 2026'!$I176</f>
        <v>25000</v>
      </c>
      <c r="K176" s="35"/>
      <c r="L176" s="31"/>
      <c r="M176" s="31"/>
      <c r="N176" s="31"/>
      <c r="O176" s="32" t="s">
        <v>434</v>
      </c>
      <c r="P176" s="320"/>
    </row>
    <row r="177" spans="1:16" s="97" customFormat="1" ht="15.75" customHeight="1">
      <c r="A177" s="105" t="s">
        <v>12</v>
      </c>
      <c r="B177" s="31" t="s">
        <v>1562</v>
      </c>
      <c r="C177" s="65" t="s">
        <v>94</v>
      </c>
      <c r="D177" s="140"/>
      <c r="E177" s="140">
        <v>10</v>
      </c>
      <c r="F177" s="140"/>
      <c r="G177" s="140"/>
      <c r="H177" s="67">
        <f>+Table_1[[#This Row],[Column7]]+Table_1[[#This Row],[Column6]]+Table_1[[#This Row],[Column5]]+Table_1[[#This Row],[Column4]]</f>
        <v>10</v>
      </c>
      <c r="I177" s="38">
        <v>2500</v>
      </c>
      <c r="J177" s="34">
        <f>+'PACC GENERAL 2026'!$H177*'PACC GENERAL 2026'!$I177</f>
        <v>25000</v>
      </c>
      <c r="K177" s="35"/>
      <c r="L177" s="31"/>
      <c r="M177" s="31"/>
      <c r="N177" s="31"/>
      <c r="O177" s="32" t="s">
        <v>434</v>
      </c>
      <c r="P177" s="320"/>
    </row>
    <row r="178" spans="1:16" s="97" customFormat="1" ht="15.75" customHeight="1">
      <c r="A178" s="105" t="s">
        <v>12</v>
      </c>
      <c r="B178" s="31" t="s">
        <v>1563</v>
      </c>
      <c r="C178" s="65" t="s">
        <v>94</v>
      </c>
      <c r="D178" s="140"/>
      <c r="E178" s="140">
        <v>10</v>
      </c>
      <c r="F178" s="140"/>
      <c r="G178" s="140"/>
      <c r="H178" s="67">
        <f>+Table_1[[#This Row],[Column7]]+Table_1[[#This Row],[Column6]]+Table_1[[#This Row],[Column5]]+Table_1[[#This Row],[Column4]]</f>
        <v>10</v>
      </c>
      <c r="I178" s="38">
        <v>2500</v>
      </c>
      <c r="J178" s="34">
        <f>+'PACC GENERAL 2026'!$H178*'PACC GENERAL 2026'!$I178</f>
        <v>25000</v>
      </c>
      <c r="K178" s="35"/>
      <c r="L178" s="31"/>
      <c r="M178" s="31"/>
      <c r="N178" s="31"/>
      <c r="O178" s="32" t="s">
        <v>434</v>
      </c>
      <c r="P178" s="320"/>
    </row>
    <row r="179" spans="1:16" ht="15.75" customHeight="1">
      <c r="A179" s="9" t="s">
        <v>12</v>
      </c>
      <c r="B179" s="10" t="s">
        <v>117</v>
      </c>
      <c r="C179" s="10"/>
      <c r="D179" s="148"/>
      <c r="E179" s="148"/>
      <c r="F179" s="148"/>
      <c r="G179" s="152"/>
      <c r="H179" s="111"/>
      <c r="I179" s="44"/>
      <c r="J179" s="12"/>
      <c r="K179" s="13">
        <f>SUM(J136:J178)</f>
        <v>16580940</v>
      </c>
      <c r="L179" s="10"/>
      <c r="M179" s="10"/>
      <c r="N179" s="10"/>
      <c r="O179" s="73"/>
    </row>
    <row r="180" spans="1:16" s="418" customFormat="1" ht="21.5" customHeight="1">
      <c r="A180" s="126" t="s">
        <v>1192</v>
      </c>
      <c r="B180" s="126" t="s">
        <v>1193</v>
      </c>
      <c r="C180" s="517" t="s">
        <v>94</v>
      </c>
      <c r="D180" s="439">
        <v>2</v>
      </c>
      <c r="E180" s="439"/>
      <c r="F180" s="439"/>
      <c r="G180" s="439"/>
      <c r="H180" s="410">
        <f>+Table_1[[#This Row],[Column7]]+Table_1[[#This Row],[Column6]]+Table_1[[#This Row],[Column5]]+Table_1[[#This Row],[Column4]]</f>
        <v>2</v>
      </c>
      <c r="I180" s="481">
        <v>1121000</v>
      </c>
      <c r="J180" s="422">
        <f>+'PACC GENERAL 2026'!$H180*'PACC GENERAL 2026'!$I180</f>
        <v>2242000</v>
      </c>
      <c r="K180" s="423"/>
      <c r="L180" s="126"/>
      <c r="M180" s="126"/>
      <c r="N180" s="126"/>
      <c r="O180" s="420" t="s">
        <v>1191</v>
      </c>
      <c r="P180" s="482"/>
    </row>
    <row r="181" spans="1:16" s="406" customFormat="1" ht="21.5" customHeight="1">
      <c r="A181" s="9" t="s">
        <v>1192</v>
      </c>
      <c r="B181" s="10"/>
      <c r="C181" s="10"/>
      <c r="D181" s="148"/>
      <c r="E181" s="148"/>
      <c r="F181" s="148"/>
      <c r="G181" s="152"/>
      <c r="H181" s="111"/>
      <c r="I181" s="44"/>
      <c r="J181" s="12"/>
      <c r="K181" s="13">
        <f>SUM(J180)</f>
        <v>2242000</v>
      </c>
      <c r="L181" s="10"/>
      <c r="M181" s="10"/>
      <c r="N181" s="10"/>
      <c r="O181" s="73"/>
    </row>
    <row r="182" spans="1:16" s="97" customFormat="1" ht="15.75" customHeight="1">
      <c r="A182" s="86" t="s">
        <v>615</v>
      </c>
      <c r="B182" s="66" t="s">
        <v>515</v>
      </c>
      <c r="C182" s="102" t="s">
        <v>94</v>
      </c>
      <c r="D182" s="140">
        <v>80</v>
      </c>
      <c r="E182" s="140"/>
      <c r="F182" s="150"/>
      <c r="G182" s="155"/>
      <c r="H182" s="67">
        <f>+Table_1[[#This Row],[Column7]]+Table_1[[#This Row],[Column6]]+Table_1[[#This Row],[Column5]]+Table_1[[#This Row],[Column4]]</f>
        <v>80</v>
      </c>
      <c r="I182" s="38">
        <v>30000</v>
      </c>
      <c r="J182" s="34">
        <f>+'PACC GENERAL 2026'!$H182*'PACC GENERAL 2026'!$I182</f>
        <v>2400000</v>
      </c>
      <c r="K182" s="103"/>
      <c r="L182" s="86"/>
      <c r="M182" s="86"/>
      <c r="N182" s="86"/>
      <c r="O182" s="37" t="s">
        <v>1039</v>
      </c>
      <c r="P182" s="320"/>
    </row>
    <row r="183" spans="1:16" s="97" customFormat="1" ht="15.75" customHeight="1">
      <c r="A183" s="86" t="s">
        <v>615</v>
      </c>
      <c r="B183" s="66" t="s">
        <v>515</v>
      </c>
      <c r="C183" s="102" t="s">
        <v>94</v>
      </c>
      <c r="D183" s="140">
        <v>1</v>
      </c>
      <c r="E183" s="140"/>
      <c r="F183" s="150"/>
      <c r="G183" s="155"/>
      <c r="H183" s="67">
        <f>+Table_1[[#This Row],[Column7]]+Table_1[[#This Row],[Column6]]+Table_1[[#This Row],[Column5]]+Table_1[[#This Row],[Column4]]</f>
        <v>1</v>
      </c>
      <c r="I183" s="38">
        <v>20500</v>
      </c>
      <c r="J183" s="34">
        <f>+'PACC GENERAL 2026'!$H183*'PACC GENERAL 2026'!$I183</f>
        <v>20500</v>
      </c>
      <c r="K183" s="103"/>
      <c r="L183" s="86"/>
      <c r="M183" s="86"/>
      <c r="N183" s="86"/>
      <c r="O183" s="37" t="s">
        <v>1001</v>
      </c>
      <c r="P183" s="320"/>
    </row>
    <row r="184" spans="1:16" s="97" customFormat="1" ht="15.75" customHeight="1">
      <c r="A184" s="86" t="s">
        <v>615</v>
      </c>
      <c r="B184" s="180" t="s">
        <v>516</v>
      </c>
      <c r="C184" s="102" t="s">
        <v>94</v>
      </c>
      <c r="D184" s="140">
        <v>2</v>
      </c>
      <c r="E184" s="181"/>
      <c r="F184" s="150"/>
      <c r="G184" s="155"/>
      <c r="H184" s="67">
        <f>+Table_1[[#This Row],[Column7]]+Table_1[[#This Row],[Column6]]+Table_1[[#This Row],[Column5]]+Table_1[[#This Row],[Column4]]</f>
        <v>2</v>
      </c>
      <c r="I184" s="177">
        <v>25000</v>
      </c>
      <c r="J184" s="201">
        <f>+'PACC GENERAL 2026'!$H184*'PACC GENERAL 2026'!$I184</f>
        <v>50000</v>
      </c>
      <c r="K184" s="103"/>
      <c r="L184" s="86"/>
      <c r="M184" s="86"/>
      <c r="N184" s="86"/>
      <c r="O184" s="187" t="s">
        <v>1001</v>
      </c>
      <c r="P184" s="320"/>
    </row>
    <row r="185" spans="1:16" s="97" customFormat="1" ht="15.75" customHeight="1">
      <c r="A185" s="86" t="s">
        <v>615</v>
      </c>
      <c r="B185" s="66" t="s">
        <v>517</v>
      </c>
      <c r="C185" s="102" t="s">
        <v>94</v>
      </c>
      <c r="D185" s="140">
        <v>2</v>
      </c>
      <c r="E185" s="140"/>
      <c r="F185" s="150"/>
      <c r="G185" s="155"/>
      <c r="H185" s="67">
        <f>+Table_1[[#This Row],[Column7]]+Table_1[[#This Row],[Column6]]+Table_1[[#This Row],[Column5]]+Table_1[[#This Row],[Column4]]</f>
        <v>2</v>
      </c>
      <c r="I185" s="38">
        <v>29500</v>
      </c>
      <c r="J185" s="34">
        <f>+'PACC GENERAL 2026'!$H185*'PACC GENERAL 2026'!$I185</f>
        <v>59000</v>
      </c>
      <c r="K185" s="103"/>
      <c r="L185" s="86"/>
      <c r="M185" s="86"/>
      <c r="N185" s="86"/>
      <c r="O185" s="37" t="s">
        <v>1001</v>
      </c>
      <c r="P185" s="320"/>
    </row>
    <row r="186" spans="1:16" ht="15.65" customHeight="1">
      <c r="A186" s="9" t="s">
        <v>615</v>
      </c>
      <c r="B186" s="10" t="s">
        <v>117</v>
      </c>
      <c r="C186" s="10"/>
      <c r="D186" s="148"/>
      <c r="E186" s="148"/>
      <c r="F186" s="148"/>
      <c r="G186" s="152"/>
      <c r="H186" s="111"/>
      <c r="I186" s="44"/>
      <c r="J186" s="12"/>
      <c r="K186" s="13">
        <f>SUM(J182:J185)</f>
        <v>2529500</v>
      </c>
      <c r="L186" s="10"/>
      <c r="M186" s="10"/>
      <c r="N186" s="10"/>
      <c r="O186" s="73"/>
      <c r="P186" s="321"/>
    </row>
    <row r="187" spans="1:16" s="287" customFormat="1" ht="23.5" customHeight="1">
      <c r="A187" s="36" t="s">
        <v>13</v>
      </c>
      <c r="B187" s="36" t="s">
        <v>821</v>
      </c>
      <c r="C187" s="37" t="s">
        <v>94</v>
      </c>
      <c r="D187" s="213"/>
      <c r="E187" s="290"/>
      <c r="F187" s="138"/>
      <c r="G187" s="138"/>
      <c r="H187" s="67">
        <f>+Table_1[[#This Row],[Column7]]+Table_1[[#This Row],[Column6]]+Table_1[[#This Row],[Column5]]+Table_1[[#This Row],[Column4]]</f>
        <v>0</v>
      </c>
      <c r="I187" s="38">
        <v>125000</v>
      </c>
      <c r="J187" s="34">
        <f>+'PACC GENERAL 2026'!$H187*'PACC GENERAL 2026'!$I187</f>
        <v>0</v>
      </c>
      <c r="K187" s="40"/>
      <c r="L187" s="36"/>
      <c r="M187" s="36"/>
      <c r="N187" s="36"/>
      <c r="O187" s="37"/>
    </row>
    <row r="188" spans="1:16" s="287" customFormat="1" ht="23.5" customHeight="1">
      <c r="A188" s="55" t="s">
        <v>13</v>
      </c>
      <c r="B188" s="240" t="s">
        <v>1012</v>
      </c>
      <c r="C188" s="123" t="s">
        <v>94</v>
      </c>
      <c r="D188" s="231">
        <v>2</v>
      </c>
      <c r="E188" s="291"/>
      <c r="F188" s="138"/>
      <c r="G188" s="236"/>
      <c r="H188" s="67">
        <f>+Table_1[[#This Row],[Column7]]+Table_1[[#This Row],[Column6]]+Table_1[[#This Row],[Column5]]+Table_1[[#This Row],[Column4]]</f>
        <v>2</v>
      </c>
      <c r="I188" s="77">
        <v>380000</v>
      </c>
      <c r="J188" s="34">
        <f>+'PACC GENERAL 2026'!$H188*'PACC GENERAL 2026'!$I188</f>
        <v>760000</v>
      </c>
      <c r="K188" s="40"/>
      <c r="L188" s="36"/>
      <c r="M188" s="36"/>
      <c r="N188" s="36"/>
      <c r="O188" s="37" t="s">
        <v>1018</v>
      </c>
      <c r="P188" s="323"/>
    </row>
    <row r="189" spans="1:16" s="287" customFormat="1" ht="23.5" customHeight="1">
      <c r="A189" s="55" t="s">
        <v>13</v>
      </c>
      <c r="B189" s="240" t="s">
        <v>1013</v>
      </c>
      <c r="C189" s="123" t="s">
        <v>94</v>
      </c>
      <c r="D189" s="231">
        <v>1</v>
      </c>
      <c r="E189" s="291"/>
      <c r="F189" s="138"/>
      <c r="G189" s="236"/>
      <c r="H189" s="67">
        <f>+Table_1[[#This Row],[Column7]]+Table_1[[#This Row],[Column6]]+Table_1[[#This Row],[Column5]]+Table_1[[#This Row],[Column4]]</f>
        <v>1</v>
      </c>
      <c r="I189" s="77">
        <v>1450000</v>
      </c>
      <c r="J189" s="34">
        <f>+'PACC GENERAL 2026'!$H189*'PACC GENERAL 2026'!$I189</f>
        <v>1450000</v>
      </c>
      <c r="K189" s="40"/>
      <c r="L189" s="36"/>
      <c r="M189" s="36"/>
      <c r="N189" s="36"/>
      <c r="O189" s="37" t="s">
        <v>1018</v>
      </c>
      <c r="P189" s="323"/>
    </row>
    <row r="190" spans="1:16" s="287" customFormat="1" ht="23.5" customHeight="1">
      <c r="A190" s="55" t="s">
        <v>13</v>
      </c>
      <c r="B190" s="240" t="s">
        <v>1014</v>
      </c>
      <c r="C190" s="123" t="s">
        <v>94</v>
      </c>
      <c r="D190" s="231">
        <v>2</v>
      </c>
      <c r="E190" s="291"/>
      <c r="F190" s="138"/>
      <c r="G190" s="236"/>
      <c r="H190" s="67">
        <f>+Table_1[[#This Row],[Column7]]+Table_1[[#This Row],[Column6]]+Table_1[[#This Row],[Column5]]+Table_1[[#This Row],[Column4]]</f>
        <v>2</v>
      </c>
      <c r="I190" s="77">
        <v>1800000</v>
      </c>
      <c r="J190" s="34">
        <f>+'PACC GENERAL 2026'!$H190*'PACC GENERAL 2026'!$I190</f>
        <v>3600000</v>
      </c>
      <c r="K190" s="40"/>
      <c r="L190" s="36"/>
      <c r="M190" s="36"/>
      <c r="N190" s="36"/>
      <c r="O190" s="37" t="s">
        <v>1018</v>
      </c>
      <c r="P190" s="323"/>
    </row>
    <row r="191" spans="1:16" s="287" customFormat="1" ht="23.5" customHeight="1">
      <c r="A191" s="55" t="s">
        <v>13</v>
      </c>
      <c r="B191" s="240" t="s">
        <v>1015</v>
      </c>
      <c r="C191" s="123" t="s">
        <v>94</v>
      </c>
      <c r="D191" s="231">
        <v>3</v>
      </c>
      <c r="E191" s="291"/>
      <c r="F191" s="138"/>
      <c r="G191" s="236"/>
      <c r="H191" s="67">
        <f>+Table_1[[#This Row],[Column7]]+Table_1[[#This Row],[Column6]]+Table_1[[#This Row],[Column5]]+Table_1[[#This Row],[Column4]]</f>
        <v>3</v>
      </c>
      <c r="I191" s="77">
        <v>2500000</v>
      </c>
      <c r="J191" s="34">
        <f>+'PACC GENERAL 2026'!$H191*'PACC GENERAL 2026'!$I191</f>
        <v>7500000</v>
      </c>
      <c r="K191" s="40"/>
      <c r="L191" s="36"/>
      <c r="M191" s="36"/>
      <c r="N191" s="36"/>
      <c r="O191" s="37" t="s">
        <v>1018</v>
      </c>
      <c r="P191" s="323"/>
    </row>
    <row r="192" spans="1:16" s="287" customFormat="1" ht="23.5" customHeight="1">
      <c r="A192" s="55" t="s">
        <v>13</v>
      </c>
      <c r="B192" s="240" t="s">
        <v>823</v>
      </c>
      <c r="C192" s="123" t="s">
        <v>94</v>
      </c>
      <c r="D192" s="231">
        <v>6</v>
      </c>
      <c r="E192" s="291"/>
      <c r="F192" s="138"/>
      <c r="G192" s="236"/>
      <c r="H192" s="67">
        <f>+Table_1[[#This Row],[Column7]]+Table_1[[#This Row],[Column6]]+Table_1[[#This Row],[Column5]]+Table_1[[#This Row],[Column4]]</f>
        <v>6</v>
      </c>
      <c r="I192" s="77">
        <v>345000</v>
      </c>
      <c r="J192" s="34">
        <f>+'PACC GENERAL 2026'!$H192*'PACC GENERAL 2026'!$I192</f>
        <v>2070000</v>
      </c>
      <c r="K192" s="40"/>
      <c r="L192" s="36"/>
      <c r="M192" s="36"/>
      <c r="N192" s="36"/>
      <c r="O192" s="37" t="s">
        <v>1018</v>
      </c>
      <c r="P192" s="323"/>
    </row>
    <row r="193" spans="1:16" s="287" customFormat="1" ht="23.5" customHeight="1">
      <c r="A193" s="55" t="s">
        <v>13</v>
      </c>
      <c r="B193" s="240" t="s">
        <v>822</v>
      </c>
      <c r="C193" s="123" t="s">
        <v>94</v>
      </c>
      <c r="D193" s="231">
        <v>8</v>
      </c>
      <c r="E193" s="291"/>
      <c r="F193" s="138"/>
      <c r="G193" s="236"/>
      <c r="H193" s="67">
        <f>+Table_1[[#This Row],[Column7]]+Table_1[[#This Row],[Column6]]+Table_1[[#This Row],[Column5]]+Table_1[[#This Row],[Column4]]</f>
        <v>8</v>
      </c>
      <c r="I193" s="77">
        <v>145000</v>
      </c>
      <c r="J193" s="34">
        <f>+'PACC GENERAL 2026'!$H193*'PACC GENERAL 2026'!$I193</f>
        <v>1160000</v>
      </c>
      <c r="K193" s="40"/>
      <c r="L193" s="36"/>
      <c r="M193" s="36"/>
      <c r="N193" s="36"/>
      <c r="O193" s="37" t="s">
        <v>1018</v>
      </c>
      <c r="P193" s="323"/>
    </row>
    <row r="194" spans="1:16" s="287" customFormat="1" ht="23.5" customHeight="1">
      <c r="A194" s="55" t="s">
        <v>13</v>
      </c>
      <c r="B194" s="240" t="s">
        <v>1016</v>
      </c>
      <c r="C194" s="123" t="s">
        <v>94</v>
      </c>
      <c r="D194" s="231">
        <v>2</v>
      </c>
      <c r="E194" s="291"/>
      <c r="F194" s="138"/>
      <c r="G194" s="236"/>
      <c r="H194" s="67">
        <f>+Table_1[[#This Row],[Column7]]+Table_1[[#This Row],[Column6]]+Table_1[[#This Row],[Column5]]+Table_1[[#This Row],[Column4]]</f>
        <v>2</v>
      </c>
      <c r="I194" s="77">
        <v>380000</v>
      </c>
      <c r="J194" s="34">
        <f>+'PACC GENERAL 2026'!$H194*'PACC GENERAL 2026'!$I194</f>
        <v>760000</v>
      </c>
      <c r="K194" s="40"/>
      <c r="L194" s="36"/>
      <c r="M194" s="36"/>
      <c r="N194" s="36"/>
      <c r="O194" s="37" t="s">
        <v>1018</v>
      </c>
      <c r="P194" s="323"/>
    </row>
    <row r="195" spans="1:16" s="287" customFormat="1" ht="23.5" customHeight="1">
      <c r="A195" s="55" t="s">
        <v>13</v>
      </c>
      <c r="B195" s="240" t="s">
        <v>1017</v>
      </c>
      <c r="C195" s="123" t="s">
        <v>94</v>
      </c>
      <c r="D195" s="231">
        <v>2</v>
      </c>
      <c r="E195" s="291"/>
      <c r="F195" s="138"/>
      <c r="G195" s="236"/>
      <c r="H195" s="67">
        <f>+Table_1[[#This Row],[Column7]]+Table_1[[#This Row],[Column6]]+Table_1[[#This Row],[Column5]]+Table_1[[#This Row],[Column4]]</f>
        <v>2</v>
      </c>
      <c r="I195" s="77">
        <v>380000</v>
      </c>
      <c r="J195" s="34">
        <f>+'PACC GENERAL 2026'!$H195*'PACC GENERAL 2026'!$I195</f>
        <v>760000</v>
      </c>
      <c r="K195" s="40"/>
      <c r="L195" s="36"/>
      <c r="M195" s="36"/>
      <c r="N195" s="36"/>
      <c r="O195" s="37" t="s">
        <v>1018</v>
      </c>
      <c r="P195" s="323"/>
    </row>
    <row r="196" spans="1:16" s="287" customFormat="1" ht="23.5" customHeight="1">
      <c r="A196" s="36" t="s">
        <v>13</v>
      </c>
      <c r="B196" s="170" t="s">
        <v>824</v>
      </c>
      <c r="C196" s="37" t="s">
        <v>94</v>
      </c>
      <c r="D196" s="137"/>
      <c r="E196" s="290"/>
      <c r="F196" s="138"/>
      <c r="G196" s="138"/>
      <c r="H196" s="67">
        <f>+Table_1[[#This Row],[Column7]]+Table_1[[#This Row],[Column6]]+Table_1[[#This Row],[Column5]]+Table_1[[#This Row],[Column4]]</f>
        <v>0</v>
      </c>
      <c r="I196" s="38">
        <v>425000</v>
      </c>
      <c r="J196" s="34">
        <f>+'PACC GENERAL 2026'!$H196*'PACC GENERAL 2026'!$I196</f>
        <v>0</v>
      </c>
      <c r="K196" s="40"/>
      <c r="L196" s="36"/>
      <c r="M196" s="36"/>
      <c r="N196" s="36"/>
      <c r="O196" s="37"/>
      <c r="P196" s="323"/>
    </row>
    <row r="197" spans="1:16" ht="15.75" customHeight="1">
      <c r="A197" s="9" t="s">
        <v>13</v>
      </c>
      <c r="B197" s="10"/>
      <c r="C197" s="10"/>
      <c r="D197" s="148"/>
      <c r="E197" s="148"/>
      <c r="F197" s="148"/>
      <c r="G197" s="152"/>
      <c r="H197" s="111"/>
      <c r="I197" s="44"/>
      <c r="J197" s="12"/>
      <c r="K197" s="13">
        <f>SUM(J187:J196)</f>
        <v>18060000</v>
      </c>
      <c r="L197" s="10"/>
      <c r="M197" s="10"/>
      <c r="N197" s="10"/>
      <c r="O197" s="73"/>
      <c r="P197" s="321"/>
    </row>
    <row r="198" spans="1:16" s="97" customFormat="1" ht="23" customHeight="1">
      <c r="A198" s="31" t="s">
        <v>430</v>
      </c>
      <c r="B198" s="36" t="s">
        <v>942</v>
      </c>
      <c r="C198" s="32" t="s">
        <v>94</v>
      </c>
      <c r="D198" s="137">
        <v>3</v>
      </c>
      <c r="E198" s="137"/>
      <c r="F198" s="133"/>
      <c r="G198" s="137"/>
      <c r="H198" s="67">
        <f>D198+E198+F198+G198</f>
        <v>3</v>
      </c>
      <c r="I198" s="38">
        <v>3500</v>
      </c>
      <c r="J198" s="34">
        <f>H198*I198</f>
        <v>10500</v>
      </c>
      <c r="K198" s="31"/>
      <c r="L198" s="31"/>
      <c r="M198" s="31"/>
      <c r="N198" s="31"/>
      <c r="O198" s="63" t="s">
        <v>941</v>
      </c>
      <c r="P198" s="320"/>
    </row>
    <row r="199" spans="1:16" ht="33.5" customHeight="1">
      <c r="A199" s="9" t="s">
        <v>430</v>
      </c>
      <c r="B199" s="10"/>
      <c r="C199" s="10"/>
      <c r="D199" s="148"/>
      <c r="E199" s="148"/>
      <c r="F199" s="148"/>
      <c r="G199" s="152"/>
      <c r="H199" s="111"/>
      <c r="I199" s="44"/>
      <c r="J199" s="12"/>
      <c r="K199" s="13">
        <f>SUM(J198)</f>
        <v>10500</v>
      </c>
      <c r="L199" s="10"/>
      <c r="M199" s="10"/>
      <c r="N199" s="10"/>
      <c r="O199" s="73"/>
      <c r="P199" s="321"/>
    </row>
    <row r="200" spans="1:16" s="287" customFormat="1" ht="23.5" customHeight="1">
      <c r="A200" s="36" t="s">
        <v>657</v>
      </c>
      <c r="B200" s="36" t="s">
        <v>698</v>
      </c>
      <c r="C200" s="37" t="s">
        <v>94</v>
      </c>
      <c r="D200" s="213"/>
      <c r="E200" s="290"/>
      <c r="F200" s="138"/>
      <c r="G200" s="138"/>
      <c r="H200" s="67">
        <f>+Table_1[[#This Row],[Column7]]+Table_1[[#This Row],[Column6]]+Table_1[[#This Row],[Column5]]+Table_1[[#This Row],[Column4]]</f>
        <v>0</v>
      </c>
      <c r="I200" s="38">
        <v>150000</v>
      </c>
      <c r="J200" s="34">
        <f>+'PACC GENERAL 2026'!$H200*'PACC GENERAL 2026'!$I200</f>
        <v>0</v>
      </c>
      <c r="K200" s="40"/>
      <c r="L200" s="36"/>
      <c r="M200" s="36"/>
      <c r="N200" s="36"/>
      <c r="O200" s="37"/>
    </row>
    <row r="201" spans="1:16" s="287" customFormat="1" ht="23.5" customHeight="1">
      <c r="A201" s="36" t="s">
        <v>657</v>
      </c>
      <c r="B201" s="170" t="s">
        <v>1019</v>
      </c>
      <c r="C201" s="37" t="s">
        <v>94</v>
      </c>
      <c r="D201" s="137">
        <v>5</v>
      </c>
      <c r="E201" s="290"/>
      <c r="F201" s="138"/>
      <c r="G201" s="138"/>
      <c r="H201" s="67">
        <f>+Table_1[[#This Row],[Column7]]+Table_1[[#This Row],[Column6]]+Table_1[[#This Row],[Column5]]+Table_1[[#This Row],[Column4]]</f>
        <v>5</v>
      </c>
      <c r="I201" s="38">
        <v>65000</v>
      </c>
      <c r="J201" s="34">
        <f>+'PACC GENERAL 2026'!$H201*'PACC GENERAL 2026'!$I201</f>
        <v>325000</v>
      </c>
      <c r="K201" s="40"/>
      <c r="L201" s="36"/>
      <c r="M201" s="36"/>
      <c r="N201" s="36"/>
      <c r="O201" s="37" t="s">
        <v>1018</v>
      </c>
      <c r="P201" s="323"/>
    </row>
    <row r="202" spans="1:16" s="287" customFormat="1" ht="23.5" customHeight="1">
      <c r="A202" s="36" t="s">
        <v>657</v>
      </c>
      <c r="B202" s="170" t="s">
        <v>1020</v>
      </c>
      <c r="C202" s="37" t="s">
        <v>94</v>
      </c>
      <c r="D202" s="137">
        <v>6</v>
      </c>
      <c r="E202" s="290"/>
      <c r="F202" s="138"/>
      <c r="G202" s="138"/>
      <c r="H202" s="67">
        <f>+Table_1[[#This Row],[Column7]]+Table_1[[#This Row],[Column6]]+Table_1[[#This Row],[Column5]]+Table_1[[#This Row],[Column4]]</f>
        <v>6</v>
      </c>
      <c r="I202" s="38">
        <v>75000</v>
      </c>
      <c r="J202" s="34">
        <f>+'PACC GENERAL 2026'!$H202*'PACC GENERAL 2026'!$I202</f>
        <v>450000</v>
      </c>
      <c r="K202" s="40"/>
      <c r="L202" s="36"/>
      <c r="M202" s="36"/>
      <c r="N202" s="36"/>
      <c r="O202" s="37" t="s">
        <v>1018</v>
      </c>
      <c r="P202" s="323"/>
    </row>
    <row r="203" spans="1:16" s="287" customFormat="1" ht="23.5" customHeight="1">
      <c r="A203" s="36" t="s">
        <v>657</v>
      </c>
      <c r="B203" s="170" t="s">
        <v>1040</v>
      </c>
      <c r="C203" s="37" t="s">
        <v>94</v>
      </c>
      <c r="D203" s="137">
        <v>5</v>
      </c>
      <c r="E203" s="213"/>
      <c r="F203" s="138"/>
      <c r="G203" s="138"/>
      <c r="H203" s="67">
        <f>+Table_1[[#This Row],[Column7]]+Table_1[[#This Row],[Column6]]+Table_1[[#This Row],[Column5]]+Table_1[[#This Row],[Column4]]</f>
        <v>5</v>
      </c>
      <c r="I203" s="38">
        <v>125000</v>
      </c>
      <c r="J203" s="34">
        <f>+'PACC GENERAL 2026'!$H203*'PACC GENERAL 2026'!$I203</f>
        <v>625000</v>
      </c>
      <c r="K203" s="40"/>
      <c r="L203" s="36"/>
      <c r="M203" s="36"/>
      <c r="N203" s="36"/>
      <c r="O203" s="37" t="s">
        <v>1018</v>
      </c>
      <c r="P203" s="323"/>
    </row>
    <row r="204" spans="1:16" s="287" customFormat="1" ht="23.5" customHeight="1">
      <c r="A204" s="36" t="s">
        <v>657</v>
      </c>
      <c r="B204" s="170" t="s">
        <v>1041</v>
      </c>
      <c r="C204" s="37" t="s">
        <v>94</v>
      </c>
      <c r="D204" s="137">
        <v>3</v>
      </c>
      <c r="E204" s="213"/>
      <c r="F204" s="138"/>
      <c r="G204" s="138"/>
      <c r="H204" s="67">
        <f>+Table_1[[#This Row],[Column7]]+Table_1[[#This Row],[Column6]]+Table_1[[#This Row],[Column5]]+Table_1[[#This Row],[Column4]]</f>
        <v>3</v>
      </c>
      <c r="I204" s="38">
        <v>225000</v>
      </c>
      <c r="J204" s="34">
        <f>+'PACC GENERAL 2026'!$H204*'PACC GENERAL 2026'!$I204</f>
        <v>675000</v>
      </c>
      <c r="K204" s="40"/>
      <c r="L204" s="36"/>
      <c r="M204" s="36"/>
      <c r="N204" s="36"/>
      <c r="O204" s="37" t="s">
        <v>1018</v>
      </c>
      <c r="P204" s="323"/>
    </row>
    <row r="205" spans="1:16" s="287" customFormat="1" ht="23.5" customHeight="1">
      <c r="A205" s="36" t="s">
        <v>657</v>
      </c>
      <c r="B205" s="170" t="s">
        <v>1042</v>
      </c>
      <c r="C205" s="37" t="s">
        <v>94</v>
      </c>
      <c r="D205" s="137">
        <v>3</v>
      </c>
      <c r="E205" s="213"/>
      <c r="F205" s="138"/>
      <c r="G205" s="138"/>
      <c r="H205" s="67">
        <f>+Table_1[[#This Row],[Column7]]+Table_1[[#This Row],[Column6]]+Table_1[[#This Row],[Column5]]+Table_1[[#This Row],[Column4]]</f>
        <v>3</v>
      </c>
      <c r="I205" s="38">
        <v>250000</v>
      </c>
      <c r="J205" s="34">
        <f>+'PACC GENERAL 2026'!$H205*'PACC GENERAL 2026'!$I205</f>
        <v>750000</v>
      </c>
      <c r="K205" s="40"/>
      <c r="L205" s="36"/>
      <c r="M205" s="36"/>
      <c r="N205" s="36"/>
      <c r="O205" s="37" t="s">
        <v>1018</v>
      </c>
      <c r="P205" s="323"/>
    </row>
    <row r="206" spans="1:16" s="287" customFormat="1" ht="23.5" customHeight="1">
      <c r="A206" s="36" t="s">
        <v>657</v>
      </c>
      <c r="B206" s="170" t="s">
        <v>817</v>
      </c>
      <c r="C206" s="37" t="s">
        <v>94</v>
      </c>
      <c r="D206" s="137">
        <v>4</v>
      </c>
      <c r="E206" s="213"/>
      <c r="F206" s="138"/>
      <c r="G206" s="138"/>
      <c r="H206" s="67">
        <f>+Table_1[[#This Row],[Column7]]+Table_1[[#This Row],[Column6]]+Table_1[[#This Row],[Column5]]+Table_1[[#This Row],[Column4]]</f>
        <v>4</v>
      </c>
      <c r="I206" s="38">
        <v>875000</v>
      </c>
      <c r="J206" s="34">
        <f>+'PACC GENERAL 2026'!$H206*'PACC GENERAL 2026'!$I206</f>
        <v>3500000</v>
      </c>
      <c r="K206" s="40"/>
      <c r="L206" s="36"/>
      <c r="M206" s="36"/>
      <c r="N206" s="36"/>
      <c r="O206" s="37" t="s">
        <v>1018</v>
      </c>
      <c r="P206" s="323"/>
    </row>
    <row r="207" spans="1:16" ht="15.75" customHeight="1">
      <c r="A207" s="9" t="s">
        <v>657</v>
      </c>
      <c r="B207" s="10"/>
      <c r="C207" s="10"/>
      <c r="D207" s="148"/>
      <c r="E207" s="148"/>
      <c r="F207" s="148"/>
      <c r="G207" s="152"/>
      <c r="H207" s="111"/>
      <c r="I207" s="44"/>
      <c r="J207" s="12"/>
      <c r="K207" s="13">
        <f>SUM(J200:J206)</f>
        <v>6325000</v>
      </c>
      <c r="L207" s="10"/>
      <c r="M207" s="10"/>
      <c r="N207" s="10"/>
      <c r="O207" s="73"/>
      <c r="P207" s="321"/>
    </row>
    <row r="208" spans="1:16" s="287" customFormat="1" ht="23.5" customHeight="1">
      <c r="A208" s="36" t="s">
        <v>14</v>
      </c>
      <c r="B208" s="36" t="s">
        <v>818</v>
      </c>
      <c r="C208" s="37" t="s">
        <v>395</v>
      </c>
      <c r="D208" s="213"/>
      <c r="E208" s="290"/>
      <c r="F208" s="138"/>
      <c r="G208" s="138"/>
      <c r="H208" s="67">
        <f>+Table_1[[#This Row],[Column7]]+Table_1[[#This Row],[Column6]]+Table_1[[#This Row],[Column5]]+Table_1[[#This Row],[Column4]]</f>
        <v>0</v>
      </c>
      <c r="I208" s="38">
        <v>375</v>
      </c>
      <c r="J208" s="34">
        <f>+'PACC GENERAL 2026'!$H208*'PACC GENERAL 2026'!$I208</f>
        <v>0</v>
      </c>
      <c r="K208" s="40"/>
      <c r="L208" s="36"/>
      <c r="M208" s="36"/>
      <c r="N208" s="36"/>
      <c r="O208" s="37"/>
    </row>
    <row r="209" spans="1:16" s="287" customFormat="1" ht="15.5">
      <c r="A209" s="36" t="s">
        <v>14</v>
      </c>
      <c r="B209" s="172" t="s">
        <v>932</v>
      </c>
      <c r="C209" s="37" t="s">
        <v>395</v>
      </c>
      <c r="D209" s="138">
        <v>500</v>
      </c>
      <c r="E209" s="138"/>
      <c r="F209" s="138"/>
      <c r="G209" s="138"/>
      <c r="H209" s="67">
        <f t="shared" ref="H209:H210" si="9">D209</f>
        <v>500</v>
      </c>
      <c r="I209" s="38">
        <v>250</v>
      </c>
      <c r="J209" s="34">
        <f>D209*I209</f>
        <v>125000</v>
      </c>
      <c r="K209" s="40"/>
      <c r="L209" s="36"/>
      <c r="M209" s="36"/>
      <c r="N209" s="36"/>
      <c r="O209" s="37" t="s">
        <v>404</v>
      </c>
      <c r="P209" s="323"/>
    </row>
    <row r="210" spans="1:16" s="287" customFormat="1" ht="15.5">
      <c r="A210" s="36" t="s">
        <v>14</v>
      </c>
      <c r="B210" s="172" t="s">
        <v>933</v>
      </c>
      <c r="C210" s="37" t="s">
        <v>395</v>
      </c>
      <c r="D210" s="138">
        <v>250</v>
      </c>
      <c r="E210" s="138"/>
      <c r="F210" s="138"/>
      <c r="G210" s="138"/>
      <c r="H210" s="67">
        <f t="shared" si="9"/>
        <v>250</v>
      </c>
      <c r="I210" s="38">
        <v>350</v>
      </c>
      <c r="J210" s="34">
        <f>D210*I210</f>
        <v>87500</v>
      </c>
      <c r="K210" s="40"/>
      <c r="L210" s="36"/>
      <c r="M210" s="36"/>
      <c r="N210" s="36"/>
      <c r="O210" s="37" t="s">
        <v>404</v>
      </c>
      <c r="P210" s="323"/>
    </row>
    <row r="211" spans="1:16" s="287" customFormat="1" ht="23.5" customHeight="1">
      <c r="A211" s="36" t="s">
        <v>14</v>
      </c>
      <c r="B211" s="36" t="s">
        <v>906</v>
      </c>
      <c r="C211" s="37" t="s">
        <v>395</v>
      </c>
      <c r="D211" s="138">
        <v>250</v>
      </c>
      <c r="E211" s="290"/>
      <c r="F211" s="138"/>
      <c r="G211" s="138"/>
      <c r="H211" s="67">
        <f>D211</f>
        <v>250</v>
      </c>
      <c r="I211" s="38">
        <v>275</v>
      </c>
      <c r="J211" s="34">
        <f>D211*I211</f>
        <v>68750</v>
      </c>
      <c r="K211" s="40"/>
      <c r="L211" s="36"/>
      <c r="M211" s="36"/>
      <c r="N211" s="36"/>
      <c r="O211" s="37" t="s">
        <v>404</v>
      </c>
      <c r="P211" s="323"/>
    </row>
    <row r="212" spans="1:16" s="287" customFormat="1" ht="15.5">
      <c r="A212" s="36" t="s">
        <v>14</v>
      </c>
      <c r="B212" s="36" t="s">
        <v>957</v>
      </c>
      <c r="C212" s="37" t="s">
        <v>958</v>
      </c>
      <c r="D212" s="138">
        <v>100</v>
      </c>
      <c r="E212" s="290"/>
      <c r="F212" s="138"/>
      <c r="G212" s="138"/>
      <c r="H212" s="67">
        <f t="shared" ref="H212" si="10">D212+E212+F212+G212</f>
        <v>100</v>
      </c>
      <c r="I212" s="38">
        <v>150</v>
      </c>
      <c r="J212" s="34">
        <f t="shared" ref="J212" si="11">H212*I212</f>
        <v>15000</v>
      </c>
      <c r="K212" s="40"/>
      <c r="L212" s="36"/>
      <c r="M212" s="36"/>
      <c r="N212" s="36"/>
      <c r="O212" s="37" t="s">
        <v>941</v>
      </c>
      <c r="P212" s="323"/>
    </row>
    <row r="213" spans="1:16" s="97" customFormat="1" ht="15.75" customHeight="1">
      <c r="A213" s="31" t="s">
        <v>14</v>
      </c>
      <c r="B213" s="31" t="s">
        <v>505</v>
      </c>
      <c r="C213" s="32" t="s">
        <v>506</v>
      </c>
      <c r="D213" s="133">
        <v>300</v>
      </c>
      <c r="E213" s="133"/>
      <c r="F213" s="133"/>
      <c r="G213" s="133"/>
      <c r="H213" s="67">
        <f>+Table_1[[#This Row],[Column7]]+Table_1[[#This Row],[Column6]]+Table_1[[#This Row],[Column5]]+Table_1[[#This Row],[Column4]]</f>
        <v>300</v>
      </c>
      <c r="I213" s="38">
        <v>42</v>
      </c>
      <c r="J213" s="34">
        <f>+'PACC GENERAL 2026'!$H213*'PACC GENERAL 2026'!$I213</f>
        <v>12600</v>
      </c>
      <c r="K213" s="35"/>
      <c r="L213" s="31"/>
      <c r="M213" s="31"/>
      <c r="N213" s="32"/>
      <c r="O213" s="32" t="s">
        <v>1001</v>
      </c>
      <c r="P213" s="320"/>
    </row>
    <row r="214" spans="1:16" ht="15.75" customHeight="1">
      <c r="A214" s="9" t="s">
        <v>14</v>
      </c>
      <c r="B214" s="10"/>
      <c r="C214" s="10"/>
      <c r="D214" s="148"/>
      <c r="E214" s="148"/>
      <c r="F214" s="148"/>
      <c r="G214" s="152"/>
      <c r="H214" s="111"/>
      <c r="I214" s="44"/>
      <c r="J214" s="12"/>
      <c r="K214" s="13">
        <f>SUM(J208:J213)</f>
        <v>308850</v>
      </c>
      <c r="L214" s="10"/>
      <c r="M214" s="10"/>
      <c r="N214" s="10"/>
      <c r="O214" s="73"/>
    </row>
    <row r="215" spans="1:16" s="287" customFormat="1" ht="18.75" customHeight="1">
      <c r="A215" s="36" t="s">
        <v>15</v>
      </c>
      <c r="B215" s="36" t="s">
        <v>121</v>
      </c>
      <c r="C215" s="37" t="s">
        <v>94</v>
      </c>
      <c r="D215" s="213"/>
      <c r="E215" s="290"/>
      <c r="F215" s="138"/>
      <c r="G215" s="138"/>
      <c r="H215" s="67">
        <f>+Table_1[[#This Row],[Column7]]+Table_1[[#This Row],[Column6]]+Table_1[[#This Row],[Column5]]+Table_1[[#This Row],[Column4]]</f>
        <v>0</v>
      </c>
      <c r="I215" s="38">
        <v>290</v>
      </c>
      <c r="J215" s="39">
        <f>+'PACC GENERAL 2026'!$H215*'PACC GENERAL 2026'!$I215</f>
        <v>0</v>
      </c>
      <c r="K215" s="40"/>
      <c r="L215" s="36"/>
      <c r="M215" s="36"/>
      <c r="N215" s="36"/>
      <c r="O215" s="37"/>
    </row>
    <row r="216" spans="1:16" s="287" customFormat="1" ht="15.75" customHeight="1">
      <c r="A216" s="36" t="s">
        <v>15</v>
      </c>
      <c r="B216" s="36" t="s">
        <v>882</v>
      </c>
      <c r="C216" s="37" t="s">
        <v>94</v>
      </c>
      <c r="D216" s="133">
        <v>3</v>
      </c>
      <c r="E216" s="290"/>
      <c r="F216" s="138"/>
      <c r="G216" s="138"/>
      <c r="H216" s="67">
        <f t="shared" ref="H216:H221" si="12">D216</f>
        <v>3</v>
      </c>
      <c r="I216" s="38">
        <v>65000</v>
      </c>
      <c r="J216" s="39">
        <f t="shared" ref="J216:J221" si="13">D216*I216</f>
        <v>195000</v>
      </c>
      <c r="K216" s="40"/>
      <c r="L216" s="36"/>
      <c r="M216" s="36"/>
      <c r="N216" s="36"/>
      <c r="O216" s="37" t="s">
        <v>404</v>
      </c>
      <c r="P216" s="323"/>
    </row>
    <row r="217" spans="1:16" s="287" customFormat="1" ht="15.75" customHeight="1">
      <c r="A217" s="36" t="s">
        <v>15</v>
      </c>
      <c r="B217" s="36" t="s">
        <v>883</v>
      </c>
      <c r="C217" s="37" t="s">
        <v>94</v>
      </c>
      <c r="D217" s="133">
        <v>4</v>
      </c>
      <c r="E217" s="290"/>
      <c r="F217" s="138"/>
      <c r="G217" s="138"/>
      <c r="H217" s="67">
        <f t="shared" si="12"/>
        <v>4</v>
      </c>
      <c r="I217" s="38">
        <v>45000</v>
      </c>
      <c r="J217" s="39">
        <f t="shared" si="13"/>
        <v>180000</v>
      </c>
      <c r="K217" s="40"/>
      <c r="L217" s="36"/>
      <c r="M217" s="36"/>
      <c r="N217" s="36"/>
      <c r="O217" s="37" t="s">
        <v>404</v>
      </c>
      <c r="P217" s="323"/>
    </row>
    <row r="218" spans="1:16" s="287" customFormat="1" ht="15.75" customHeight="1">
      <c r="A218" s="36" t="s">
        <v>15</v>
      </c>
      <c r="B218" s="36" t="s">
        <v>884</v>
      </c>
      <c r="C218" s="37" t="s">
        <v>94</v>
      </c>
      <c r="D218" s="133">
        <v>6</v>
      </c>
      <c r="E218" s="290"/>
      <c r="F218" s="138"/>
      <c r="G218" s="138"/>
      <c r="H218" s="67">
        <f t="shared" si="12"/>
        <v>6</v>
      </c>
      <c r="I218" s="38">
        <v>45000</v>
      </c>
      <c r="J218" s="39">
        <f t="shared" si="13"/>
        <v>270000</v>
      </c>
      <c r="K218" s="40"/>
      <c r="L218" s="36"/>
      <c r="M218" s="36"/>
      <c r="N218" s="36"/>
      <c r="O218" s="37" t="s">
        <v>404</v>
      </c>
      <c r="P218" s="323"/>
    </row>
    <row r="219" spans="1:16" s="287" customFormat="1" ht="15.75" customHeight="1">
      <c r="A219" s="36" t="s">
        <v>15</v>
      </c>
      <c r="B219" s="36" t="s">
        <v>885</v>
      </c>
      <c r="C219" s="37" t="s">
        <v>94</v>
      </c>
      <c r="D219" s="133">
        <v>3</v>
      </c>
      <c r="E219" s="290"/>
      <c r="F219" s="138"/>
      <c r="G219" s="138"/>
      <c r="H219" s="67">
        <f t="shared" si="12"/>
        <v>3</v>
      </c>
      <c r="I219" s="38">
        <v>55000</v>
      </c>
      <c r="J219" s="39">
        <f t="shared" si="13"/>
        <v>165000</v>
      </c>
      <c r="K219" s="40"/>
      <c r="L219" s="36"/>
      <c r="M219" s="36"/>
      <c r="N219" s="36"/>
      <c r="O219" s="37" t="s">
        <v>404</v>
      </c>
      <c r="P219" s="323"/>
    </row>
    <row r="220" spans="1:16" s="287" customFormat="1" ht="15.75" customHeight="1">
      <c r="A220" s="36" t="s">
        <v>15</v>
      </c>
      <c r="B220" s="36" t="s">
        <v>886</v>
      </c>
      <c r="C220" s="37" t="s">
        <v>94</v>
      </c>
      <c r="D220" s="133">
        <v>4</v>
      </c>
      <c r="E220" s="290"/>
      <c r="F220" s="138"/>
      <c r="G220" s="138"/>
      <c r="H220" s="67">
        <f t="shared" si="12"/>
        <v>4</v>
      </c>
      <c r="I220" s="38">
        <v>30000</v>
      </c>
      <c r="J220" s="39">
        <f t="shared" si="13"/>
        <v>120000</v>
      </c>
      <c r="K220" s="40"/>
      <c r="L220" s="36"/>
      <c r="M220" s="36"/>
      <c r="N220" s="36"/>
      <c r="O220" s="37" t="s">
        <v>404</v>
      </c>
      <c r="P220" s="323"/>
    </row>
    <row r="221" spans="1:16" s="287" customFormat="1" ht="15.75" customHeight="1">
      <c r="A221" s="36" t="s">
        <v>15</v>
      </c>
      <c r="B221" s="36" t="s">
        <v>887</v>
      </c>
      <c r="C221" s="37" t="s">
        <v>94</v>
      </c>
      <c r="D221" s="133">
        <v>4</v>
      </c>
      <c r="E221" s="290"/>
      <c r="F221" s="138"/>
      <c r="G221" s="138"/>
      <c r="H221" s="67">
        <f t="shared" si="12"/>
        <v>4</v>
      </c>
      <c r="I221" s="38">
        <v>2500</v>
      </c>
      <c r="J221" s="39">
        <f t="shared" si="13"/>
        <v>10000</v>
      </c>
      <c r="K221" s="40"/>
      <c r="L221" s="36"/>
      <c r="M221" s="36"/>
      <c r="N221" s="36"/>
      <c r="O221" s="37" t="s">
        <v>404</v>
      </c>
      <c r="P221" s="323"/>
    </row>
    <row r="222" spans="1:16" s="287" customFormat="1" ht="15.75" customHeight="1">
      <c r="A222" s="36" t="s">
        <v>15</v>
      </c>
      <c r="B222" s="36" t="s">
        <v>896</v>
      </c>
      <c r="C222" s="37" t="s">
        <v>94</v>
      </c>
      <c r="D222" s="133">
        <v>6</v>
      </c>
      <c r="E222" s="290"/>
      <c r="F222" s="138"/>
      <c r="G222" s="138"/>
      <c r="H222" s="67">
        <f t="shared" ref="H222:H229" si="14">D222</f>
        <v>6</v>
      </c>
      <c r="I222" s="38">
        <v>8000</v>
      </c>
      <c r="J222" s="39">
        <f t="shared" ref="J222:J229" si="15">D222*I222</f>
        <v>48000</v>
      </c>
      <c r="K222" s="40"/>
      <c r="L222" s="36"/>
      <c r="M222" s="36"/>
      <c r="N222" s="36"/>
      <c r="O222" s="37" t="s">
        <v>404</v>
      </c>
      <c r="P222" s="323"/>
    </row>
    <row r="223" spans="1:16" s="287" customFormat="1" ht="15.75" customHeight="1">
      <c r="A223" s="36" t="s">
        <v>15</v>
      </c>
      <c r="B223" s="36" t="s">
        <v>899</v>
      </c>
      <c r="C223" s="37" t="s">
        <v>94</v>
      </c>
      <c r="D223" s="133">
        <v>4</v>
      </c>
      <c r="E223" s="290"/>
      <c r="F223" s="138"/>
      <c r="G223" s="138"/>
      <c r="H223" s="67">
        <f t="shared" si="14"/>
        <v>4</v>
      </c>
      <c r="I223" s="38">
        <v>40000</v>
      </c>
      <c r="J223" s="39">
        <f t="shared" si="15"/>
        <v>160000</v>
      </c>
      <c r="K223" s="40"/>
      <c r="L223" s="36"/>
      <c r="M223" s="36"/>
      <c r="N223" s="36"/>
      <c r="O223" s="37" t="s">
        <v>404</v>
      </c>
      <c r="P223" s="323"/>
    </row>
    <row r="224" spans="1:16" s="287" customFormat="1" ht="15.75" customHeight="1">
      <c r="A224" s="36" t="s">
        <v>15</v>
      </c>
      <c r="B224" s="36" t="s">
        <v>900</v>
      </c>
      <c r="C224" s="37" t="s">
        <v>94</v>
      </c>
      <c r="D224" s="133">
        <v>4</v>
      </c>
      <c r="E224" s="290"/>
      <c r="F224" s="138"/>
      <c r="G224" s="138"/>
      <c r="H224" s="67">
        <f t="shared" si="14"/>
        <v>4</v>
      </c>
      <c r="I224" s="38">
        <v>15000</v>
      </c>
      <c r="J224" s="39">
        <f t="shared" si="15"/>
        <v>60000</v>
      </c>
      <c r="K224" s="40"/>
      <c r="L224" s="36"/>
      <c r="M224" s="36"/>
      <c r="N224" s="36"/>
      <c r="O224" s="37" t="s">
        <v>404</v>
      </c>
      <c r="P224" s="323"/>
    </row>
    <row r="225" spans="1:16" s="287" customFormat="1" ht="15.75" customHeight="1">
      <c r="A225" s="36" t="s">
        <v>15</v>
      </c>
      <c r="B225" s="36" t="s">
        <v>901</v>
      </c>
      <c r="C225" s="37" t="s">
        <v>94</v>
      </c>
      <c r="D225" s="133">
        <v>1000</v>
      </c>
      <c r="E225" s="290"/>
      <c r="F225" s="138"/>
      <c r="G225" s="138"/>
      <c r="H225" s="67">
        <f t="shared" si="14"/>
        <v>1000</v>
      </c>
      <c r="I225" s="38">
        <v>10</v>
      </c>
      <c r="J225" s="39">
        <f t="shared" si="15"/>
        <v>10000</v>
      </c>
      <c r="K225" s="40"/>
      <c r="L225" s="36"/>
      <c r="M225" s="36"/>
      <c r="N225" s="36"/>
      <c r="O225" s="37" t="s">
        <v>404</v>
      </c>
      <c r="P225" s="323"/>
    </row>
    <row r="226" spans="1:16" s="287" customFormat="1" ht="15.75" customHeight="1">
      <c r="A226" s="36" t="s">
        <v>15</v>
      </c>
      <c r="B226" s="36" t="s">
        <v>902</v>
      </c>
      <c r="C226" s="37" t="s">
        <v>94</v>
      </c>
      <c r="D226" s="133">
        <v>8</v>
      </c>
      <c r="E226" s="290"/>
      <c r="F226" s="138"/>
      <c r="G226" s="138"/>
      <c r="H226" s="67">
        <f t="shared" si="14"/>
        <v>8</v>
      </c>
      <c r="I226" s="38">
        <v>32000</v>
      </c>
      <c r="J226" s="39">
        <f t="shared" si="15"/>
        <v>256000</v>
      </c>
      <c r="K226" s="40"/>
      <c r="L226" s="36"/>
      <c r="M226" s="36"/>
      <c r="N226" s="36"/>
      <c r="O226" s="37" t="s">
        <v>404</v>
      </c>
      <c r="P226" s="323"/>
    </row>
    <row r="227" spans="1:16" s="287" customFormat="1" ht="15.75" customHeight="1">
      <c r="A227" s="36" t="s">
        <v>15</v>
      </c>
      <c r="B227" s="36" t="s">
        <v>903</v>
      </c>
      <c r="C227" s="37" t="s">
        <v>94</v>
      </c>
      <c r="D227" s="133">
        <v>3</v>
      </c>
      <c r="E227" s="290"/>
      <c r="F227" s="138"/>
      <c r="G227" s="138"/>
      <c r="H227" s="67">
        <f t="shared" si="14"/>
        <v>3</v>
      </c>
      <c r="I227" s="38">
        <v>75000</v>
      </c>
      <c r="J227" s="39">
        <f t="shared" si="15"/>
        <v>225000</v>
      </c>
      <c r="K227" s="40"/>
      <c r="L227" s="36"/>
      <c r="M227" s="36"/>
      <c r="N227" s="36"/>
      <c r="O227" s="37" t="s">
        <v>404</v>
      </c>
      <c r="P227" s="323"/>
    </row>
    <row r="228" spans="1:16" s="287" customFormat="1" ht="15.75" customHeight="1">
      <c r="A228" s="36" t="s">
        <v>15</v>
      </c>
      <c r="B228" s="36" t="s">
        <v>904</v>
      </c>
      <c r="C228" s="37" t="s">
        <v>94</v>
      </c>
      <c r="D228" s="133">
        <v>45</v>
      </c>
      <c r="E228" s="290"/>
      <c r="F228" s="138"/>
      <c r="G228" s="138"/>
      <c r="H228" s="67">
        <f t="shared" si="14"/>
        <v>45</v>
      </c>
      <c r="I228" s="38">
        <v>18000</v>
      </c>
      <c r="J228" s="39">
        <f t="shared" si="15"/>
        <v>810000</v>
      </c>
      <c r="K228" s="40"/>
      <c r="L228" s="36"/>
      <c r="M228" s="36"/>
      <c r="N228" s="36"/>
      <c r="O228" s="37" t="s">
        <v>404</v>
      </c>
      <c r="P228" s="323"/>
    </row>
    <row r="229" spans="1:16" s="287" customFormat="1" ht="15.75" customHeight="1">
      <c r="A229" s="36" t="s">
        <v>15</v>
      </c>
      <c r="B229" s="36" t="s">
        <v>905</v>
      </c>
      <c r="C229" s="37" t="s">
        <v>94</v>
      </c>
      <c r="D229" s="133">
        <v>20</v>
      </c>
      <c r="E229" s="290"/>
      <c r="F229" s="138"/>
      <c r="G229" s="138"/>
      <c r="H229" s="67">
        <f t="shared" si="14"/>
        <v>20</v>
      </c>
      <c r="I229" s="38">
        <v>6000</v>
      </c>
      <c r="J229" s="39">
        <f t="shared" si="15"/>
        <v>120000</v>
      </c>
      <c r="K229" s="40"/>
      <c r="L229" s="36"/>
      <c r="M229" s="36"/>
      <c r="N229" s="36"/>
      <c r="O229" s="37" t="s">
        <v>404</v>
      </c>
      <c r="P229" s="323"/>
    </row>
    <row r="230" spans="1:16" s="287" customFormat="1" ht="15.75" customHeight="1">
      <c r="A230" s="36" t="s">
        <v>15</v>
      </c>
      <c r="B230" s="36" t="s">
        <v>970</v>
      </c>
      <c r="C230" s="37" t="s">
        <v>94</v>
      </c>
      <c r="D230" s="133">
        <v>60</v>
      </c>
      <c r="E230" s="290"/>
      <c r="F230" s="138"/>
      <c r="G230" s="138"/>
      <c r="H230" s="67">
        <f>D230+E230+F230+G230</f>
        <v>60</v>
      </c>
      <c r="I230" s="38">
        <v>780</v>
      </c>
      <c r="J230" s="39">
        <f>I230*H230</f>
        <v>46800</v>
      </c>
      <c r="K230" s="40"/>
      <c r="L230" s="36"/>
      <c r="M230" s="36"/>
      <c r="N230" s="36"/>
      <c r="O230" s="37" t="s">
        <v>975</v>
      </c>
      <c r="P230" s="323"/>
    </row>
    <row r="231" spans="1:16" s="287" customFormat="1" ht="15.75" customHeight="1">
      <c r="A231" s="36" t="s">
        <v>15</v>
      </c>
      <c r="B231" s="36" t="s">
        <v>971</v>
      </c>
      <c r="C231" s="37" t="s">
        <v>94</v>
      </c>
      <c r="D231" s="133">
        <v>60</v>
      </c>
      <c r="E231" s="290"/>
      <c r="F231" s="138"/>
      <c r="G231" s="138"/>
      <c r="H231" s="67">
        <f>D231+E231+F231+G231</f>
        <v>60</v>
      </c>
      <c r="I231" s="38">
        <v>760</v>
      </c>
      <c r="J231" s="39">
        <f t="shared" ref="J231:J238" si="16">I231*H231</f>
        <v>45600</v>
      </c>
      <c r="K231" s="40"/>
      <c r="L231" s="36"/>
      <c r="M231" s="36"/>
      <c r="N231" s="36"/>
      <c r="O231" s="37" t="s">
        <v>975</v>
      </c>
      <c r="P231" s="323"/>
    </row>
    <row r="232" spans="1:16" s="287" customFormat="1" ht="15.75" customHeight="1">
      <c r="A232" s="36" t="s">
        <v>15</v>
      </c>
      <c r="B232" s="36" t="s">
        <v>972</v>
      </c>
      <c r="C232" s="37" t="s">
        <v>94</v>
      </c>
      <c r="D232" s="133">
        <v>6</v>
      </c>
      <c r="E232" s="290"/>
      <c r="F232" s="138"/>
      <c r="G232" s="138"/>
      <c r="H232" s="67">
        <f>D232+E232+F232+G232</f>
        <v>6</v>
      </c>
      <c r="I232" s="38">
        <v>600</v>
      </c>
      <c r="J232" s="39">
        <f t="shared" si="16"/>
        <v>3600</v>
      </c>
      <c r="K232" s="40"/>
      <c r="L232" s="36"/>
      <c r="M232" s="36"/>
      <c r="N232" s="36"/>
      <c r="O232" s="37" t="s">
        <v>975</v>
      </c>
      <c r="P232" s="323"/>
    </row>
    <row r="233" spans="1:16" s="287" customFormat="1" ht="15.75" customHeight="1">
      <c r="A233" s="36" t="s">
        <v>15</v>
      </c>
      <c r="B233" s="36" t="s">
        <v>973</v>
      </c>
      <c r="C233" s="37" t="s">
        <v>94</v>
      </c>
      <c r="D233" s="133">
        <v>1</v>
      </c>
      <c r="E233" s="290"/>
      <c r="F233" s="138"/>
      <c r="G233" s="138"/>
      <c r="H233" s="67">
        <f t="shared" ref="H233:H238" si="17">D233+E233+F233+G233</f>
        <v>1</v>
      </c>
      <c r="I233" s="38">
        <v>1300</v>
      </c>
      <c r="J233" s="39">
        <f t="shared" si="16"/>
        <v>1300</v>
      </c>
      <c r="K233" s="40"/>
      <c r="L233" s="36"/>
      <c r="M233" s="36"/>
      <c r="N233" s="36"/>
      <c r="O233" s="37" t="s">
        <v>975</v>
      </c>
      <c r="P233" s="323"/>
    </row>
    <row r="234" spans="1:16" s="287" customFormat="1" ht="15.75" customHeight="1">
      <c r="A234" s="36" t="s">
        <v>15</v>
      </c>
      <c r="B234" s="36" t="s">
        <v>974</v>
      </c>
      <c r="C234" s="37" t="s">
        <v>94</v>
      </c>
      <c r="D234" s="133">
        <v>1</v>
      </c>
      <c r="E234" s="290"/>
      <c r="F234" s="138"/>
      <c r="G234" s="138"/>
      <c r="H234" s="67">
        <f t="shared" si="17"/>
        <v>1</v>
      </c>
      <c r="I234" s="38">
        <v>2130</v>
      </c>
      <c r="J234" s="39">
        <f t="shared" si="16"/>
        <v>2130</v>
      </c>
      <c r="K234" s="40"/>
      <c r="L234" s="36"/>
      <c r="M234" s="36"/>
      <c r="N234" s="36"/>
      <c r="O234" s="37" t="s">
        <v>975</v>
      </c>
      <c r="P234" s="323"/>
    </row>
    <row r="235" spans="1:16" s="287" customFormat="1" ht="15.75" customHeight="1">
      <c r="A235" s="36" t="s">
        <v>15</v>
      </c>
      <c r="B235" s="36" t="s">
        <v>128</v>
      </c>
      <c r="C235" s="37" t="s">
        <v>94</v>
      </c>
      <c r="D235" s="133">
        <v>1</v>
      </c>
      <c r="E235" s="290"/>
      <c r="F235" s="138"/>
      <c r="G235" s="138"/>
      <c r="H235" s="67">
        <f t="shared" si="17"/>
        <v>1</v>
      </c>
      <c r="I235" s="38">
        <v>2682</v>
      </c>
      <c r="J235" s="39">
        <f t="shared" si="16"/>
        <v>2682</v>
      </c>
      <c r="K235" s="40"/>
      <c r="L235" s="36"/>
      <c r="M235" s="36"/>
      <c r="N235" s="36"/>
      <c r="O235" s="37" t="s">
        <v>975</v>
      </c>
      <c r="P235" s="323"/>
    </row>
    <row r="236" spans="1:16" s="287" customFormat="1" ht="15.75" customHeight="1">
      <c r="A236" s="36" t="s">
        <v>15</v>
      </c>
      <c r="B236" s="36" t="s">
        <v>130</v>
      </c>
      <c r="C236" s="37" t="s">
        <v>94</v>
      </c>
      <c r="D236" s="133">
        <v>1</v>
      </c>
      <c r="E236" s="290"/>
      <c r="F236" s="138"/>
      <c r="G236" s="138"/>
      <c r="H236" s="67">
        <f t="shared" si="17"/>
        <v>1</v>
      </c>
      <c r="I236" s="38">
        <v>980</v>
      </c>
      <c r="J236" s="39">
        <f t="shared" si="16"/>
        <v>980</v>
      </c>
      <c r="K236" s="40"/>
      <c r="L236" s="36"/>
      <c r="M236" s="36"/>
      <c r="N236" s="36"/>
      <c r="O236" s="37" t="s">
        <v>975</v>
      </c>
      <c r="P236" s="323"/>
    </row>
    <row r="237" spans="1:16" s="287" customFormat="1" ht="15.75" customHeight="1">
      <c r="A237" s="36" t="s">
        <v>15</v>
      </c>
      <c r="B237" s="36" t="s">
        <v>131</v>
      </c>
      <c r="C237" s="37" t="s">
        <v>94</v>
      </c>
      <c r="D237" s="133">
        <v>1</v>
      </c>
      <c r="E237" s="290"/>
      <c r="F237" s="138"/>
      <c r="G237" s="138"/>
      <c r="H237" s="67">
        <f t="shared" si="17"/>
        <v>1</v>
      </c>
      <c r="I237" s="38">
        <v>143</v>
      </c>
      <c r="J237" s="39">
        <f t="shared" si="16"/>
        <v>143</v>
      </c>
      <c r="K237" s="40"/>
      <c r="L237" s="36"/>
      <c r="M237" s="36"/>
      <c r="N237" s="36"/>
      <c r="O237" s="37" t="s">
        <v>975</v>
      </c>
      <c r="P237" s="323"/>
    </row>
    <row r="238" spans="1:16" s="287" customFormat="1" ht="15.75" customHeight="1">
      <c r="A238" s="36" t="s">
        <v>15</v>
      </c>
      <c r="B238" s="36" t="s">
        <v>132</v>
      </c>
      <c r="C238" s="37" t="s">
        <v>133</v>
      </c>
      <c r="D238" s="133">
        <v>3</v>
      </c>
      <c r="E238" s="290"/>
      <c r="F238" s="138"/>
      <c r="G238" s="138"/>
      <c r="H238" s="67">
        <f t="shared" si="17"/>
        <v>3</v>
      </c>
      <c r="I238" s="38">
        <v>2860</v>
      </c>
      <c r="J238" s="39">
        <f t="shared" si="16"/>
        <v>8580</v>
      </c>
      <c r="K238" s="40"/>
      <c r="L238" s="36"/>
      <c r="M238" s="36"/>
      <c r="N238" s="36"/>
      <c r="O238" s="37" t="s">
        <v>975</v>
      </c>
      <c r="P238" s="323"/>
    </row>
    <row r="239" spans="1:16" s="287" customFormat="1" ht="15.75" customHeight="1">
      <c r="A239" s="36" t="s">
        <v>15</v>
      </c>
      <c r="B239" s="36" t="s">
        <v>128</v>
      </c>
      <c r="C239" s="37" t="s">
        <v>94</v>
      </c>
      <c r="D239" s="213"/>
      <c r="E239" s="290"/>
      <c r="F239" s="133">
        <v>3</v>
      </c>
      <c r="G239" s="138"/>
      <c r="H239" s="110">
        <v>3</v>
      </c>
      <c r="I239" s="38">
        <v>2682</v>
      </c>
      <c r="J239" s="39">
        <v>8046</v>
      </c>
      <c r="K239" s="40"/>
      <c r="L239" s="161"/>
      <c r="M239" s="36"/>
      <c r="N239" s="36"/>
      <c r="O239" s="161" t="s">
        <v>1004</v>
      </c>
      <c r="P239" s="323"/>
    </row>
    <row r="240" spans="1:16" s="287" customFormat="1" ht="15.75" customHeight="1">
      <c r="A240" s="36" t="s">
        <v>15</v>
      </c>
      <c r="B240" s="36" t="s">
        <v>130</v>
      </c>
      <c r="C240" s="37" t="s">
        <v>94</v>
      </c>
      <c r="D240" s="213"/>
      <c r="E240" s="290"/>
      <c r="F240" s="133">
        <v>3</v>
      </c>
      <c r="G240" s="138"/>
      <c r="H240" s="110">
        <v>3</v>
      </c>
      <c r="I240" s="38">
        <v>980</v>
      </c>
      <c r="J240" s="39">
        <v>2940</v>
      </c>
      <c r="K240" s="40"/>
      <c r="L240" s="161"/>
      <c r="M240" s="36"/>
      <c r="N240" s="36"/>
      <c r="O240" s="161" t="s">
        <v>1004</v>
      </c>
      <c r="P240" s="323"/>
    </row>
    <row r="241" spans="1:16" s="287" customFormat="1" ht="15.75" customHeight="1">
      <c r="A241" s="36" t="s">
        <v>15</v>
      </c>
      <c r="B241" s="36" t="s">
        <v>131</v>
      </c>
      <c r="C241" s="37" t="s">
        <v>94</v>
      </c>
      <c r="D241" s="213"/>
      <c r="E241" s="290"/>
      <c r="F241" s="133">
        <v>3</v>
      </c>
      <c r="G241" s="138"/>
      <c r="H241" s="110">
        <v>3</v>
      </c>
      <c r="I241" s="38">
        <v>143</v>
      </c>
      <c r="J241" s="39">
        <v>429</v>
      </c>
      <c r="K241" s="40"/>
      <c r="L241" s="161"/>
      <c r="M241" s="36"/>
      <c r="N241" s="36"/>
      <c r="O241" s="161" t="s">
        <v>1004</v>
      </c>
      <c r="P241" s="323"/>
    </row>
    <row r="242" spans="1:16" s="287" customFormat="1" ht="15.75" customHeight="1">
      <c r="A242" s="55" t="s">
        <v>15</v>
      </c>
      <c r="B242" s="55" t="s">
        <v>134</v>
      </c>
      <c r="C242" s="123" t="s">
        <v>94</v>
      </c>
      <c r="D242" s="213"/>
      <c r="E242" s="291"/>
      <c r="F242" s="133">
        <v>3</v>
      </c>
      <c r="G242" s="236"/>
      <c r="H242" s="237">
        <v>3</v>
      </c>
      <c r="I242" s="77">
        <v>398</v>
      </c>
      <c r="J242" s="238">
        <v>1194</v>
      </c>
      <c r="K242" s="239"/>
      <c r="L242" s="161"/>
      <c r="M242" s="36"/>
      <c r="N242" s="36"/>
      <c r="O242" s="161" t="s">
        <v>1004</v>
      </c>
      <c r="P242" s="323"/>
    </row>
    <row r="243" spans="1:16" s="287" customFormat="1" ht="15.75" customHeight="1">
      <c r="A243" s="36" t="s">
        <v>15</v>
      </c>
      <c r="B243" s="36" t="s">
        <v>140</v>
      </c>
      <c r="C243" s="37" t="s">
        <v>94</v>
      </c>
      <c r="D243" s="213"/>
      <c r="E243" s="290"/>
      <c r="F243" s="133">
        <v>313</v>
      </c>
      <c r="G243" s="138"/>
      <c r="H243" s="67">
        <v>313</v>
      </c>
      <c r="I243" s="38">
        <v>70</v>
      </c>
      <c r="J243" s="34">
        <v>21910</v>
      </c>
      <c r="K243" s="40"/>
      <c r="L243" s="161"/>
      <c r="M243" s="36"/>
      <c r="N243" s="36"/>
      <c r="O243" s="161" t="s">
        <v>1004</v>
      </c>
      <c r="P243" s="323"/>
    </row>
    <row r="244" spans="1:16" s="287" customFormat="1" ht="15.75" customHeight="1">
      <c r="A244" s="36" t="s">
        <v>15</v>
      </c>
      <c r="B244" s="36" t="s">
        <v>119</v>
      </c>
      <c r="C244" s="37" t="s">
        <v>94</v>
      </c>
      <c r="D244" s="213"/>
      <c r="E244" s="290"/>
      <c r="F244" s="133">
        <v>14</v>
      </c>
      <c r="G244" s="138"/>
      <c r="H244" s="67">
        <v>14</v>
      </c>
      <c r="I244" s="38">
        <v>350</v>
      </c>
      <c r="J244" s="34">
        <v>4900</v>
      </c>
      <c r="K244" s="40"/>
      <c r="L244" s="161"/>
      <c r="M244" s="36"/>
      <c r="N244" s="36"/>
      <c r="O244" s="161" t="s">
        <v>1004</v>
      </c>
      <c r="P244" s="323"/>
    </row>
    <row r="245" spans="1:16" s="287" customFormat="1" ht="15.75" customHeight="1">
      <c r="A245" s="36" t="s">
        <v>15</v>
      </c>
      <c r="B245" s="36" t="s">
        <v>120</v>
      </c>
      <c r="C245" s="37" t="s">
        <v>94</v>
      </c>
      <c r="D245" s="213"/>
      <c r="E245" s="290"/>
      <c r="F245" s="133">
        <v>14</v>
      </c>
      <c r="G245" s="138"/>
      <c r="H245" s="67">
        <v>14</v>
      </c>
      <c r="I245" s="38">
        <v>350</v>
      </c>
      <c r="J245" s="34">
        <v>4900</v>
      </c>
      <c r="K245" s="40"/>
      <c r="L245" s="161"/>
      <c r="M245" s="36"/>
      <c r="N245" s="36"/>
      <c r="O245" s="161" t="s">
        <v>1004</v>
      </c>
      <c r="P245" s="323"/>
    </row>
    <row r="246" spans="1:16" s="287" customFormat="1" ht="15.75" customHeight="1">
      <c r="A246" s="36" t="s">
        <v>15</v>
      </c>
      <c r="B246" s="36" t="s">
        <v>122</v>
      </c>
      <c r="C246" s="37" t="s">
        <v>94</v>
      </c>
      <c r="D246" s="213"/>
      <c r="E246" s="290"/>
      <c r="F246" s="133">
        <v>5</v>
      </c>
      <c r="G246" s="138"/>
      <c r="H246" s="67">
        <v>5</v>
      </c>
      <c r="I246" s="38">
        <v>1450</v>
      </c>
      <c r="J246" s="34">
        <v>7250</v>
      </c>
      <c r="K246" s="40"/>
      <c r="L246" s="161"/>
      <c r="M246" s="36"/>
      <c r="N246" s="36"/>
      <c r="O246" s="161" t="s">
        <v>1004</v>
      </c>
      <c r="P246" s="323"/>
    </row>
    <row r="247" spans="1:16" s="287" customFormat="1" ht="15.75" customHeight="1">
      <c r="A247" s="36" t="s">
        <v>15</v>
      </c>
      <c r="B247" s="36" t="s">
        <v>123</v>
      </c>
      <c r="C247" s="37" t="s">
        <v>94</v>
      </c>
      <c r="D247" s="213"/>
      <c r="E247" s="290"/>
      <c r="F247" s="133">
        <v>4</v>
      </c>
      <c r="G247" s="138"/>
      <c r="H247" s="67">
        <v>4</v>
      </c>
      <c r="I247" s="38">
        <v>500</v>
      </c>
      <c r="J247" s="34">
        <v>2000</v>
      </c>
      <c r="K247" s="40"/>
      <c r="L247" s="161"/>
      <c r="M247" s="36"/>
      <c r="N247" s="36"/>
      <c r="O247" s="161" t="s">
        <v>1004</v>
      </c>
      <c r="P247" s="323"/>
    </row>
    <row r="248" spans="1:16" s="287" customFormat="1" ht="15.75" customHeight="1">
      <c r="A248" s="36" t="s">
        <v>15</v>
      </c>
      <c r="B248" s="36" t="s">
        <v>124</v>
      </c>
      <c r="C248" s="37" t="s">
        <v>94</v>
      </c>
      <c r="D248" s="213"/>
      <c r="E248" s="290"/>
      <c r="F248" s="133">
        <v>19</v>
      </c>
      <c r="G248" s="138"/>
      <c r="H248" s="67">
        <v>19</v>
      </c>
      <c r="I248" s="38">
        <v>675</v>
      </c>
      <c r="J248" s="34">
        <v>12825</v>
      </c>
      <c r="K248" s="40"/>
      <c r="L248" s="161"/>
      <c r="M248" s="36"/>
      <c r="N248" s="36"/>
      <c r="O248" s="161" t="s">
        <v>1004</v>
      </c>
      <c r="P248" s="323"/>
    </row>
    <row r="249" spans="1:16" s="287" customFormat="1" ht="15.75" customHeight="1">
      <c r="A249" s="36" t="s">
        <v>15</v>
      </c>
      <c r="B249" s="327" t="s">
        <v>1005</v>
      </c>
      <c r="C249" s="37" t="s">
        <v>94</v>
      </c>
      <c r="D249" s="213"/>
      <c r="E249" s="291"/>
      <c r="F249" s="133">
        <v>126</v>
      </c>
      <c r="G249" s="138"/>
      <c r="H249" s="67">
        <v>126</v>
      </c>
      <c r="I249" s="38">
        <v>780</v>
      </c>
      <c r="J249" s="238">
        <v>98280</v>
      </c>
      <c r="K249" s="40"/>
      <c r="L249" s="328"/>
      <c r="M249" s="36"/>
      <c r="N249" s="36"/>
      <c r="O249" s="161" t="s">
        <v>1004</v>
      </c>
      <c r="P249" s="323"/>
    </row>
    <row r="250" spans="1:16" s="287" customFormat="1" ht="15.75" customHeight="1">
      <c r="A250" s="36" t="s">
        <v>15</v>
      </c>
      <c r="B250" s="327" t="s">
        <v>1006</v>
      </c>
      <c r="C250" s="37" t="s">
        <v>94</v>
      </c>
      <c r="D250" s="213"/>
      <c r="E250" s="291"/>
      <c r="F250" s="133">
        <v>126</v>
      </c>
      <c r="G250" s="138"/>
      <c r="H250" s="67">
        <v>126</v>
      </c>
      <c r="I250" s="38">
        <v>760</v>
      </c>
      <c r="J250" s="238">
        <v>95760</v>
      </c>
      <c r="K250" s="40"/>
      <c r="L250" s="328"/>
      <c r="M250" s="36"/>
      <c r="N250" s="36"/>
      <c r="O250" s="161" t="s">
        <v>1004</v>
      </c>
      <c r="P250" s="323"/>
    </row>
    <row r="251" spans="1:16" s="287" customFormat="1" ht="15.75" customHeight="1">
      <c r="A251" s="36" t="s">
        <v>15</v>
      </c>
      <c r="B251" s="327" t="s">
        <v>1007</v>
      </c>
      <c r="C251" s="37" t="s">
        <v>94</v>
      </c>
      <c r="D251" s="213"/>
      <c r="E251" s="291"/>
      <c r="F251" s="133">
        <v>16</v>
      </c>
      <c r="G251" s="138"/>
      <c r="H251" s="67">
        <v>16</v>
      </c>
      <c r="I251" s="38">
        <v>600</v>
      </c>
      <c r="J251" s="238">
        <v>9600</v>
      </c>
      <c r="K251" s="40"/>
      <c r="L251" s="328"/>
      <c r="M251" s="36"/>
      <c r="N251" s="36"/>
      <c r="O251" s="161" t="s">
        <v>1004</v>
      </c>
      <c r="P251" s="323"/>
    </row>
    <row r="252" spans="1:16" s="287" customFormat="1" ht="15.75" customHeight="1">
      <c r="A252" s="36" t="s">
        <v>15</v>
      </c>
      <c r="B252" s="327" t="s">
        <v>1008</v>
      </c>
      <c r="C252" s="37" t="s">
        <v>94</v>
      </c>
      <c r="D252" s="213"/>
      <c r="E252" s="291"/>
      <c r="F252" s="133">
        <v>3</v>
      </c>
      <c r="G252" s="138"/>
      <c r="H252" s="67">
        <v>3</v>
      </c>
      <c r="I252" s="38">
        <v>1300</v>
      </c>
      <c r="J252" s="238">
        <v>3900</v>
      </c>
      <c r="K252" s="40"/>
      <c r="L252" s="328"/>
      <c r="M252" s="36"/>
      <c r="N252" s="36"/>
      <c r="O252" s="161" t="s">
        <v>1004</v>
      </c>
      <c r="P252" s="323"/>
    </row>
    <row r="253" spans="1:16" s="287" customFormat="1" ht="16" customHeight="1">
      <c r="A253" s="36" t="s">
        <v>15</v>
      </c>
      <c r="B253" s="36" t="s">
        <v>134</v>
      </c>
      <c r="C253" s="37" t="s">
        <v>94</v>
      </c>
      <c r="D253" s="213"/>
      <c r="E253" s="290"/>
      <c r="F253" s="133">
        <v>1</v>
      </c>
      <c r="G253" s="138"/>
      <c r="H253" s="67">
        <f>+Table_1[[#This Row],[Column7]]+Table_1[[#This Row],[Column6]]+Table_1[[#This Row],[Column5]]+Table_1[[#This Row],[Column4]]</f>
        <v>1</v>
      </c>
      <c r="I253" s="38">
        <v>398</v>
      </c>
      <c r="J253" s="34">
        <f>+'PACC GENERAL 2026'!$H253*'PACC GENERAL 2026'!$I253</f>
        <v>398</v>
      </c>
      <c r="K253" s="40"/>
      <c r="L253" s="36"/>
      <c r="M253" s="36"/>
      <c r="N253" s="36"/>
      <c r="O253" s="37" t="s">
        <v>975</v>
      </c>
      <c r="P253" s="323"/>
    </row>
    <row r="254" spans="1:16" s="287" customFormat="1" ht="16" customHeight="1">
      <c r="A254" s="36" t="s">
        <v>15</v>
      </c>
      <c r="B254" s="36" t="s">
        <v>140</v>
      </c>
      <c r="C254" s="37" t="s">
        <v>94</v>
      </c>
      <c r="D254" s="133">
        <v>300</v>
      </c>
      <c r="E254" s="290"/>
      <c r="F254" s="138"/>
      <c r="G254" s="138"/>
      <c r="H254" s="67">
        <f>+Table_1[[#This Row],[Column7]]+Table_1[[#This Row],[Column6]]+Table_1[[#This Row],[Column5]]+Table_1[[#This Row],[Column4]]</f>
        <v>300</v>
      </c>
      <c r="I254" s="38">
        <v>70</v>
      </c>
      <c r="J254" s="34">
        <f>+'PACC GENERAL 2026'!$H254*'PACC GENERAL 2026'!$I254</f>
        <v>21000</v>
      </c>
      <c r="K254" s="40"/>
      <c r="L254" s="36"/>
      <c r="M254" s="36"/>
      <c r="N254" s="36"/>
      <c r="O254" s="37" t="s">
        <v>975</v>
      </c>
      <c r="P254" s="323"/>
    </row>
    <row r="255" spans="1:16" s="287" customFormat="1" ht="16" customHeight="1">
      <c r="A255" s="36" t="s">
        <v>15</v>
      </c>
      <c r="B255" s="36" t="s">
        <v>119</v>
      </c>
      <c r="C255" s="37" t="s">
        <v>94</v>
      </c>
      <c r="D255" s="133">
        <v>12</v>
      </c>
      <c r="E255" s="290"/>
      <c r="F255" s="138"/>
      <c r="G255" s="138"/>
      <c r="H255" s="67">
        <f>+Table_1[[#This Row],[Column7]]+Table_1[[#This Row],[Column6]]+Table_1[[#This Row],[Column5]]+Table_1[[#This Row],[Column4]]</f>
        <v>12</v>
      </c>
      <c r="I255" s="38">
        <v>350</v>
      </c>
      <c r="J255" s="34">
        <f>+'PACC GENERAL 2026'!$H255*'PACC GENERAL 2026'!$I255</f>
        <v>4200</v>
      </c>
      <c r="K255" s="40"/>
      <c r="L255" s="36"/>
      <c r="M255" s="36"/>
      <c r="N255" s="36"/>
      <c r="O255" s="37" t="s">
        <v>975</v>
      </c>
      <c r="P255" s="323"/>
    </row>
    <row r="256" spans="1:16" s="287" customFormat="1" ht="16" customHeight="1">
      <c r="A256" s="36" t="s">
        <v>15</v>
      </c>
      <c r="B256" s="36" t="s">
        <v>120</v>
      </c>
      <c r="C256" s="37" t="s">
        <v>94</v>
      </c>
      <c r="D256" s="133">
        <v>12</v>
      </c>
      <c r="E256" s="290"/>
      <c r="F256" s="138"/>
      <c r="G256" s="138"/>
      <c r="H256" s="67">
        <f>+Table_1[[#This Row],[Column7]]+Table_1[[#This Row],[Column6]]+Table_1[[#This Row],[Column5]]+Table_1[[#This Row],[Column4]]</f>
        <v>12</v>
      </c>
      <c r="I256" s="38">
        <v>350</v>
      </c>
      <c r="J256" s="34">
        <f>+'PACC GENERAL 2026'!$H256*'PACC GENERAL 2026'!$I256</f>
        <v>4200</v>
      </c>
      <c r="K256" s="40"/>
      <c r="L256" s="36"/>
      <c r="M256" s="36"/>
      <c r="N256" s="36"/>
      <c r="O256" s="37" t="s">
        <v>975</v>
      </c>
      <c r="P256" s="323"/>
    </row>
    <row r="257" spans="1:16" s="287" customFormat="1" ht="16" customHeight="1">
      <c r="A257" s="36" t="s">
        <v>15</v>
      </c>
      <c r="B257" s="36" t="s">
        <v>122</v>
      </c>
      <c r="C257" s="37" t="s">
        <v>94</v>
      </c>
      <c r="D257" s="133">
        <v>4</v>
      </c>
      <c r="E257" s="290"/>
      <c r="F257" s="138"/>
      <c r="G257" s="138"/>
      <c r="H257" s="67">
        <f>+Table_1[[#This Row],[Column7]]+Table_1[[#This Row],[Column6]]+Table_1[[#This Row],[Column5]]+Table_1[[#This Row],[Column4]]</f>
        <v>4</v>
      </c>
      <c r="I257" s="38">
        <v>1450</v>
      </c>
      <c r="J257" s="34">
        <f>+'PACC GENERAL 2026'!$H257*'PACC GENERAL 2026'!$I257</f>
        <v>5800</v>
      </c>
      <c r="K257" s="40"/>
      <c r="L257" s="36"/>
      <c r="M257" s="36"/>
      <c r="N257" s="36"/>
      <c r="O257" s="37" t="s">
        <v>975</v>
      </c>
      <c r="P257" s="323"/>
    </row>
    <row r="258" spans="1:16" s="287" customFormat="1" ht="16" customHeight="1">
      <c r="A258" s="36" t="s">
        <v>15</v>
      </c>
      <c r="B258" s="36" t="s">
        <v>123</v>
      </c>
      <c r="C258" s="37" t="s">
        <v>94</v>
      </c>
      <c r="D258" s="133"/>
      <c r="E258" s="290"/>
      <c r="F258" s="138"/>
      <c r="G258" s="138"/>
      <c r="H258" s="67">
        <f>+Table_1[[#This Row],[Column7]]+Table_1[[#This Row],[Column6]]+Table_1[[#This Row],[Column5]]+Table_1[[#This Row],[Column4]]</f>
        <v>0</v>
      </c>
      <c r="I258" s="38">
        <v>500</v>
      </c>
      <c r="J258" s="34">
        <f>+'PACC GENERAL 2026'!$H258*'PACC GENERAL 2026'!$I258</f>
        <v>0</v>
      </c>
      <c r="K258" s="40"/>
      <c r="L258" s="36"/>
      <c r="M258" s="36"/>
      <c r="N258" s="36"/>
      <c r="O258" s="37" t="s">
        <v>975</v>
      </c>
      <c r="P258" s="323"/>
    </row>
    <row r="259" spans="1:16" s="287" customFormat="1" ht="16" customHeight="1">
      <c r="A259" s="36" t="s">
        <v>15</v>
      </c>
      <c r="B259" s="36" t="s">
        <v>124</v>
      </c>
      <c r="C259" s="37" t="s">
        <v>94</v>
      </c>
      <c r="D259" s="133">
        <v>18</v>
      </c>
      <c r="E259" s="290"/>
      <c r="F259" s="138"/>
      <c r="G259" s="138"/>
      <c r="H259" s="67">
        <f>+Table_1[[#This Row],[Column7]]+Table_1[[#This Row],[Column6]]+Table_1[[#This Row],[Column5]]+Table_1[[#This Row],[Column4]]</f>
        <v>18</v>
      </c>
      <c r="I259" s="38">
        <v>675</v>
      </c>
      <c r="J259" s="34">
        <f>+'PACC GENERAL 2026'!$H259*'PACC GENERAL 2026'!$I259</f>
        <v>12150</v>
      </c>
      <c r="K259" s="40"/>
      <c r="L259" s="36"/>
      <c r="M259" s="36"/>
      <c r="N259" s="36"/>
      <c r="O259" s="37" t="s">
        <v>975</v>
      </c>
      <c r="P259" s="323"/>
    </row>
    <row r="260" spans="1:16" s="287" customFormat="1" ht="15.75" customHeight="1">
      <c r="A260" s="36" t="s">
        <v>15</v>
      </c>
      <c r="B260" s="36" t="s">
        <v>121</v>
      </c>
      <c r="C260" s="37" t="s">
        <v>94</v>
      </c>
      <c r="D260" s="133">
        <v>22</v>
      </c>
      <c r="E260" s="290"/>
      <c r="F260" s="138"/>
      <c r="G260" s="138"/>
      <c r="H260" s="67">
        <f>+Table_1[[#This Row],[Column7]]+Table_1[[#This Row],[Column6]]+Table_1[[#This Row],[Column5]]+Table_1[[#This Row],[Column4]]</f>
        <v>22</v>
      </c>
      <c r="I260" s="38">
        <v>290</v>
      </c>
      <c r="J260" s="34">
        <f>+'PACC GENERAL 2026'!$H260*'PACC GENERAL 2026'!$I260</f>
        <v>6380</v>
      </c>
      <c r="K260" s="40"/>
      <c r="L260" s="36"/>
      <c r="M260" s="36"/>
      <c r="N260" s="36"/>
      <c r="O260" s="37" t="s">
        <v>1001</v>
      </c>
      <c r="P260" s="323"/>
    </row>
    <row r="261" spans="1:16" s="287" customFormat="1" ht="15.75" customHeight="1">
      <c r="A261" s="36" t="s">
        <v>15</v>
      </c>
      <c r="B261" s="36" t="s">
        <v>535</v>
      </c>
      <c r="C261" s="37" t="s">
        <v>94</v>
      </c>
      <c r="D261" s="133">
        <v>5</v>
      </c>
      <c r="E261" s="290"/>
      <c r="F261" s="138"/>
      <c r="G261" s="138"/>
      <c r="H261" s="67">
        <f>+Table_1[[#This Row],[Column7]]+Table_1[[#This Row],[Column6]]+Table_1[[#This Row],[Column5]]+Table_1[[#This Row],[Column4]]</f>
        <v>5</v>
      </c>
      <c r="I261" s="38">
        <v>30000</v>
      </c>
      <c r="J261" s="34">
        <f>+'PACC GENERAL 2026'!$H261*'PACC GENERAL 2026'!$I261</f>
        <v>150000</v>
      </c>
      <c r="K261" s="40"/>
      <c r="L261" s="36"/>
      <c r="M261" s="36"/>
      <c r="N261" s="36"/>
      <c r="O261" s="37" t="s">
        <v>1001</v>
      </c>
      <c r="P261" s="323"/>
    </row>
    <row r="262" spans="1:16" s="287" customFormat="1" ht="15.75" customHeight="1">
      <c r="A262" s="36" t="s">
        <v>15</v>
      </c>
      <c r="B262" s="36" t="s">
        <v>126</v>
      </c>
      <c r="C262" s="37" t="s">
        <v>94</v>
      </c>
      <c r="D262" s="133">
        <v>20</v>
      </c>
      <c r="E262" s="290"/>
      <c r="F262" s="138"/>
      <c r="G262" s="138"/>
      <c r="H262" s="67">
        <f>+Table_1[[#This Row],[Column7]]+Table_1[[#This Row],[Column6]]+Table_1[[#This Row],[Column5]]+Table_1[[#This Row],[Column4]]</f>
        <v>20</v>
      </c>
      <c r="I262" s="38">
        <v>1388</v>
      </c>
      <c r="J262" s="34">
        <f>+'PACC GENERAL 2026'!$H262*'PACC GENERAL 2026'!$I262</f>
        <v>27760</v>
      </c>
      <c r="K262" s="40"/>
      <c r="L262" s="36"/>
      <c r="M262" s="36"/>
      <c r="N262" s="36"/>
      <c r="O262" s="37" t="s">
        <v>1001</v>
      </c>
      <c r="P262" s="323"/>
    </row>
    <row r="263" spans="1:16" s="287" customFormat="1" ht="15.75" customHeight="1">
      <c r="A263" s="36" t="s">
        <v>15</v>
      </c>
      <c r="B263" s="36" t="s">
        <v>529</v>
      </c>
      <c r="C263" s="37" t="s">
        <v>94</v>
      </c>
      <c r="D263" s="133">
        <v>2</v>
      </c>
      <c r="E263" s="290"/>
      <c r="F263" s="138"/>
      <c r="G263" s="138"/>
      <c r="H263" s="67">
        <f>+Table_1[[#This Row],[Column7]]+Table_1[[#This Row],[Column6]]+Table_1[[#This Row],[Column5]]+Table_1[[#This Row],[Column4]]</f>
        <v>2</v>
      </c>
      <c r="I263" s="38">
        <v>15000</v>
      </c>
      <c r="J263" s="34">
        <f>+'PACC GENERAL 2026'!$H263*'PACC GENERAL 2026'!$I263</f>
        <v>30000</v>
      </c>
      <c r="K263" s="40"/>
      <c r="L263" s="36"/>
      <c r="M263" s="36"/>
      <c r="N263" s="36"/>
      <c r="O263" s="37" t="s">
        <v>1001</v>
      </c>
      <c r="P263" s="323"/>
    </row>
    <row r="264" spans="1:16" s="287" customFormat="1" ht="15.75" customHeight="1">
      <c r="A264" s="36" t="s">
        <v>15</v>
      </c>
      <c r="B264" s="36" t="s">
        <v>773</v>
      </c>
      <c r="C264" s="37" t="s">
        <v>94</v>
      </c>
      <c r="D264" s="133">
        <v>5</v>
      </c>
      <c r="E264" s="290"/>
      <c r="F264" s="138"/>
      <c r="G264" s="138"/>
      <c r="H264" s="67">
        <f>+Table_1[[#This Row],[Column7]]+Table_1[[#This Row],[Column6]]+Table_1[[#This Row],[Column5]]+Table_1[[#This Row],[Column4]]</f>
        <v>5</v>
      </c>
      <c r="I264" s="38">
        <v>10468.311</v>
      </c>
      <c r="J264" s="34">
        <f>+'PACC GENERAL 2026'!$H264*'PACC GENERAL 2026'!$I264</f>
        <v>52341.555</v>
      </c>
      <c r="K264" s="40"/>
      <c r="L264" s="36"/>
      <c r="M264" s="36"/>
      <c r="N264" s="36"/>
      <c r="O264" s="37" t="s">
        <v>1001</v>
      </c>
      <c r="P264" s="323"/>
    </row>
    <row r="265" spans="1:16" s="287" customFormat="1" ht="15.75" customHeight="1">
      <c r="A265" s="36" t="s">
        <v>15</v>
      </c>
      <c r="B265" s="36" t="s">
        <v>119</v>
      </c>
      <c r="C265" s="37" t="s">
        <v>94</v>
      </c>
      <c r="D265" s="133">
        <v>20</v>
      </c>
      <c r="E265" s="290"/>
      <c r="F265" s="138"/>
      <c r="G265" s="138"/>
      <c r="H265" s="67">
        <f>+Table_1[[#This Row],[Column7]]+Table_1[[#This Row],[Column6]]+Table_1[[#This Row],[Column5]]+Table_1[[#This Row],[Column4]]</f>
        <v>20</v>
      </c>
      <c r="I265" s="38">
        <v>350</v>
      </c>
      <c r="J265" s="34">
        <f>+'PACC GENERAL 2026'!$H265*'PACC GENERAL 2026'!$I265</f>
        <v>7000</v>
      </c>
      <c r="K265" s="40"/>
      <c r="L265" s="36"/>
      <c r="M265" s="36"/>
      <c r="N265" s="36"/>
      <c r="O265" s="37" t="s">
        <v>1001</v>
      </c>
      <c r="P265" s="323"/>
    </row>
    <row r="266" spans="1:16" s="287" customFormat="1" ht="15.75" customHeight="1">
      <c r="A266" s="36" t="s">
        <v>15</v>
      </c>
      <c r="B266" s="36" t="s">
        <v>120</v>
      </c>
      <c r="C266" s="37" t="s">
        <v>94</v>
      </c>
      <c r="D266" s="133">
        <v>20</v>
      </c>
      <c r="E266" s="290"/>
      <c r="F266" s="138"/>
      <c r="G266" s="138"/>
      <c r="H266" s="67">
        <f>+Table_1[[#This Row],[Column7]]+Table_1[[#This Row],[Column6]]+Table_1[[#This Row],[Column5]]+Table_1[[#This Row],[Column4]]</f>
        <v>20</v>
      </c>
      <c r="I266" s="38">
        <v>350</v>
      </c>
      <c r="J266" s="34">
        <f>+'PACC GENERAL 2026'!$H266*'PACC GENERAL 2026'!$I266</f>
        <v>7000</v>
      </c>
      <c r="K266" s="40"/>
      <c r="L266" s="36"/>
      <c r="M266" s="36"/>
      <c r="N266" s="36"/>
      <c r="O266" s="37" t="s">
        <v>1001</v>
      </c>
      <c r="P266" s="323"/>
    </row>
    <row r="267" spans="1:16" s="287" customFormat="1" ht="15.75" customHeight="1">
      <c r="A267" s="36" t="s">
        <v>15</v>
      </c>
      <c r="B267" s="36" t="s">
        <v>122</v>
      </c>
      <c r="C267" s="37" t="s">
        <v>94</v>
      </c>
      <c r="D267" s="133">
        <v>20</v>
      </c>
      <c r="E267" s="290"/>
      <c r="F267" s="138"/>
      <c r="G267" s="138"/>
      <c r="H267" s="67">
        <f>+Table_1[[#This Row],[Column7]]+Table_1[[#This Row],[Column6]]+Table_1[[#This Row],[Column5]]+Table_1[[#This Row],[Column4]]</f>
        <v>20</v>
      </c>
      <c r="I267" s="38">
        <v>1450</v>
      </c>
      <c r="J267" s="34">
        <f>+'PACC GENERAL 2026'!$H267*'PACC GENERAL 2026'!$I267</f>
        <v>29000</v>
      </c>
      <c r="K267" s="40"/>
      <c r="L267" s="36"/>
      <c r="M267" s="36"/>
      <c r="N267" s="36"/>
      <c r="O267" s="37" t="s">
        <v>1001</v>
      </c>
      <c r="P267" s="323"/>
    </row>
    <row r="268" spans="1:16" s="287" customFormat="1" ht="15.75" customHeight="1">
      <c r="A268" s="36" t="s">
        <v>15</v>
      </c>
      <c r="B268" s="36" t="s">
        <v>123</v>
      </c>
      <c r="C268" s="37" t="s">
        <v>94</v>
      </c>
      <c r="D268" s="133">
        <v>20</v>
      </c>
      <c r="E268" s="290"/>
      <c r="F268" s="138"/>
      <c r="G268" s="138"/>
      <c r="H268" s="67">
        <f>+Table_1[[#This Row],[Column7]]+Table_1[[#This Row],[Column6]]+Table_1[[#This Row],[Column5]]+Table_1[[#This Row],[Column4]]</f>
        <v>20</v>
      </c>
      <c r="I268" s="38">
        <v>500</v>
      </c>
      <c r="J268" s="34">
        <f>+'PACC GENERAL 2026'!$H268*'PACC GENERAL 2026'!$I268</f>
        <v>10000</v>
      </c>
      <c r="K268" s="40"/>
      <c r="L268" s="36"/>
      <c r="M268" s="36"/>
      <c r="N268" s="36"/>
      <c r="O268" s="37" t="s">
        <v>1001</v>
      </c>
      <c r="P268" s="323"/>
    </row>
    <row r="269" spans="1:16" s="287" customFormat="1" ht="15.75" customHeight="1">
      <c r="A269" s="36" t="s">
        <v>15</v>
      </c>
      <c r="B269" s="36" t="s">
        <v>125</v>
      </c>
      <c r="C269" s="37" t="s">
        <v>94</v>
      </c>
      <c r="D269" s="133">
        <v>7</v>
      </c>
      <c r="E269" s="290"/>
      <c r="F269" s="138"/>
      <c r="G269" s="138"/>
      <c r="H269" s="67">
        <f>+Table_1[[#This Row],[Column7]]+Table_1[[#This Row],[Column6]]+Table_1[[#This Row],[Column5]]+Table_1[[#This Row],[Column4]]</f>
        <v>7</v>
      </c>
      <c r="I269" s="38">
        <v>750</v>
      </c>
      <c r="J269" s="34">
        <f>+'PACC GENERAL 2026'!$H269*'PACC GENERAL 2026'!$I269</f>
        <v>5250</v>
      </c>
      <c r="K269" s="40"/>
      <c r="L269" s="36"/>
      <c r="M269" s="36"/>
      <c r="N269" s="36"/>
      <c r="O269" s="37" t="s">
        <v>1001</v>
      </c>
      <c r="P269" s="323"/>
    </row>
    <row r="270" spans="1:16" s="287" customFormat="1" ht="15.75" customHeight="1">
      <c r="A270" s="36" t="s">
        <v>15</v>
      </c>
      <c r="B270" s="36" t="s">
        <v>833</v>
      </c>
      <c r="C270" s="37" t="s">
        <v>94</v>
      </c>
      <c r="D270" s="133">
        <v>4</v>
      </c>
      <c r="E270" s="290"/>
      <c r="F270" s="138"/>
      <c r="G270" s="138"/>
      <c r="H270" s="67">
        <f>+Table_1[[#This Row],[Column7]]+Table_1[[#This Row],[Column6]]+Table_1[[#This Row],[Column5]]+Table_1[[#This Row],[Column4]]</f>
        <v>4</v>
      </c>
      <c r="I270" s="38">
        <v>760</v>
      </c>
      <c r="J270" s="34">
        <f>+'PACC GENERAL 2026'!$H270*'PACC GENERAL 2026'!$I270</f>
        <v>3040</v>
      </c>
      <c r="K270" s="40"/>
      <c r="L270" s="36"/>
      <c r="M270" s="36"/>
      <c r="N270" s="36"/>
      <c r="O270" s="37" t="s">
        <v>1001</v>
      </c>
      <c r="P270" s="323"/>
    </row>
    <row r="271" spans="1:16" s="287" customFormat="1" ht="15.75" customHeight="1">
      <c r="A271" s="36" t="s">
        <v>15</v>
      </c>
      <c r="B271" s="36" t="s">
        <v>834</v>
      </c>
      <c r="C271" s="37" t="s">
        <v>94</v>
      </c>
      <c r="D271" s="133">
        <v>6</v>
      </c>
      <c r="E271" s="290"/>
      <c r="F271" s="138"/>
      <c r="G271" s="138"/>
      <c r="H271" s="67">
        <f>+Table_1[[#This Row],[Column7]]+Table_1[[#This Row],[Column6]]+Table_1[[#This Row],[Column5]]+Table_1[[#This Row],[Column4]]</f>
        <v>6</v>
      </c>
      <c r="I271" s="38">
        <v>600</v>
      </c>
      <c r="J271" s="34">
        <f>+'PACC GENERAL 2026'!$H271*'PACC GENERAL 2026'!$I271</f>
        <v>3600</v>
      </c>
      <c r="K271" s="40"/>
      <c r="L271" s="36"/>
      <c r="M271" s="36"/>
      <c r="N271" s="36"/>
      <c r="O271" s="37" t="s">
        <v>1001</v>
      </c>
      <c r="P271" s="323"/>
    </row>
    <row r="272" spans="1:16" s="287" customFormat="1" ht="15.75" customHeight="1">
      <c r="A272" s="36" t="s">
        <v>15</v>
      </c>
      <c r="B272" s="36" t="s">
        <v>437</v>
      </c>
      <c r="C272" s="37" t="s">
        <v>133</v>
      </c>
      <c r="D272" s="133">
        <v>10</v>
      </c>
      <c r="E272" s="290"/>
      <c r="F272" s="138"/>
      <c r="G272" s="138"/>
      <c r="H272" s="67">
        <f>+Table_1[[#This Row],[Column7]]+Table_1[[#This Row],[Column6]]+Table_1[[#This Row],[Column5]]+Table_1[[#This Row],[Column4]]</f>
        <v>10</v>
      </c>
      <c r="I272" s="38">
        <v>250</v>
      </c>
      <c r="J272" s="34">
        <f>+'PACC GENERAL 2026'!$H272*'PACC GENERAL 2026'!$I272</f>
        <v>2500</v>
      </c>
      <c r="K272" s="40"/>
      <c r="L272" s="36"/>
      <c r="M272" s="36"/>
      <c r="N272" s="36"/>
      <c r="O272" s="37" t="s">
        <v>1001</v>
      </c>
      <c r="P272" s="323"/>
    </row>
    <row r="273" spans="1:16" s="287" customFormat="1" ht="15.75" customHeight="1">
      <c r="A273" s="36" t="s">
        <v>15</v>
      </c>
      <c r="B273" s="36" t="s">
        <v>438</v>
      </c>
      <c r="C273" s="37" t="s">
        <v>133</v>
      </c>
      <c r="D273" s="133">
        <v>10</v>
      </c>
      <c r="E273" s="290"/>
      <c r="F273" s="138"/>
      <c r="G273" s="138"/>
      <c r="H273" s="67">
        <f>+Table_1[[#This Row],[Column7]]+Table_1[[#This Row],[Column6]]+Table_1[[#This Row],[Column5]]+Table_1[[#This Row],[Column4]]</f>
        <v>10</v>
      </c>
      <c r="I273" s="38">
        <v>250</v>
      </c>
      <c r="J273" s="34">
        <f>+'PACC GENERAL 2026'!$H273*'PACC GENERAL 2026'!$I273</f>
        <v>2500</v>
      </c>
      <c r="K273" s="40"/>
      <c r="L273" s="36"/>
      <c r="M273" s="36"/>
      <c r="N273" s="36"/>
      <c r="O273" s="37" t="s">
        <v>1001</v>
      </c>
      <c r="P273" s="323"/>
    </row>
    <row r="274" spans="1:16" s="287" customFormat="1" ht="15.75" customHeight="1">
      <c r="A274" s="36" t="s">
        <v>15</v>
      </c>
      <c r="B274" s="36" t="s">
        <v>121</v>
      </c>
      <c r="C274" s="37" t="s">
        <v>94</v>
      </c>
      <c r="D274" s="213"/>
      <c r="E274" s="213"/>
      <c r="F274" s="290">
        <v>8</v>
      </c>
      <c r="G274" s="138"/>
      <c r="H274" s="67">
        <f>+Table_1[[#This Row],[Column7]]+Table_1[[#This Row],[Column6]]+Table_1[[#This Row],[Column5]]+Table_1[[#This Row],[Column4]]</f>
        <v>8</v>
      </c>
      <c r="I274" s="38">
        <v>290</v>
      </c>
      <c r="J274" s="34">
        <f>+'PACC GENERAL 2026'!$H274*'PACC GENERAL 2026'!$I274</f>
        <v>2320</v>
      </c>
      <c r="K274" s="40"/>
      <c r="L274" s="36"/>
      <c r="M274" s="36"/>
      <c r="N274" s="36"/>
      <c r="O274" s="37" t="s">
        <v>1312</v>
      </c>
      <c r="P274" s="323"/>
    </row>
    <row r="275" spans="1:16" s="287" customFormat="1" ht="15.75" customHeight="1">
      <c r="A275" s="36" t="s">
        <v>15</v>
      </c>
      <c r="B275" s="36" t="s">
        <v>535</v>
      </c>
      <c r="C275" s="37" t="s">
        <v>94</v>
      </c>
      <c r="D275" s="213"/>
      <c r="E275" s="213"/>
      <c r="F275" s="290">
        <v>4</v>
      </c>
      <c r="G275" s="138"/>
      <c r="H275" s="67">
        <f>+Table_1[[#This Row],[Column7]]+Table_1[[#This Row],[Column6]]+Table_1[[#This Row],[Column5]]+Table_1[[#This Row],[Column4]]</f>
        <v>4</v>
      </c>
      <c r="I275" s="38">
        <v>30000</v>
      </c>
      <c r="J275" s="34">
        <f>+'PACC GENERAL 2026'!$H275*'PACC GENERAL 2026'!$I275</f>
        <v>120000</v>
      </c>
      <c r="K275" s="40"/>
      <c r="L275" s="36"/>
      <c r="M275" s="36"/>
      <c r="N275" s="36"/>
      <c r="O275" s="37" t="s">
        <v>1312</v>
      </c>
      <c r="P275" s="323"/>
    </row>
    <row r="276" spans="1:16" s="287" customFormat="1" ht="15.75" customHeight="1">
      <c r="A276" s="36" t="s">
        <v>15</v>
      </c>
      <c r="B276" s="36" t="s">
        <v>126</v>
      </c>
      <c r="C276" s="37" t="s">
        <v>94</v>
      </c>
      <c r="D276" s="213"/>
      <c r="E276" s="213"/>
      <c r="F276" s="290">
        <v>4</v>
      </c>
      <c r="G276" s="138"/>
      <c r="H276" s="67">
        <f>+Table_1[[#This Row],[Column7]]+Table_1[[#This Row],[Column6]]+Table_1[[#This Row],[Column5]]+Table_1[[#This Row],[Column4]]</f>
        <v>4</v>
      </c>
      <c r="I276" s="38">
        <v>1388</v>
      </c>
      <c r="J276" s="34">
        <f>+'PACC GENERAL 2026'!$H276*'PACC GENERAL 2026'!$I276</f>
        <v>5552</v>
      </c>
      <c r="K276" s="40"/>
      <c r="L276" s="36"/>
      <c r="M276" s="36"/>
      <c r="N276" s="36"/>
      <c r="O276" s="37" t="s">
        <v>1312</v>
      </c>
      <c r="P276" s="323"/>
    </row>
    <row r="277" spans="1:16" s="287" customFormat="1" ht="15.75" customHeight="1">
      <c r="A277" s="36" t="s">
        <v>15</v>
      </c>
      <c r="B277" s="36" t="s">
        <v>529</v>
      </c>
      <c r="C277" s="37" t="s">
        <v>94</v>
      </c>
      <c r="D277" s="213"/>
      <c r="E277" s="213"/>
      <c r="F277" s="290">
        <v>4</v>
      </c>
      <c r="G277" s="138"/>
      <c r="H277" s="67">
        <f>+Table_1[[#This Row],[Column7]]+Table_1[[#This Row],[Column6]]+Table_1[[#This Row],[Column5]]+Table_1[[#This Row],[Column4]]</f>
        <v>4</v>
      </c>
      <c r="I277" s="38">
        <v>15000</v>
      </c>
      <c r="J277" s="34">
        <f>+'PACC GENERAL 2026'!$H277*'PACC GENERAL 2026'!$I277</f>
        <v>60000</v>
      </c>
      <c r="K277" s="40"/>
      <c r="L277" s="36"/>
      <c r="M277" s="36"/>
      <c r="N277" s="36"/>
      <c r="O277" s="37" t="s">
        <v>1312</v>
      </c>
      <c r="P277" s="323"/>
    </row>
    <row r="278" spans="1:16" s="287" customFormat="1" ht="15.75" customHeight="1">
      <c r="A278" s="36" t="s">
        <v>15</v>
      </c>
      <c r="B278" s="36" t="s">
        <v>493</v>
      </c>
      <c r="C278" s="37" t="s">
        <v>133</v>
      </c>
      <c r="D278" s="133">
        <v>8</v>
      </c>
      <c r="E278" s="290"/>
      <c r="F278" s="138"/>
      <c r="G278" s="138"/>
      <c r="H278" s="67">
        <f>+Table_1[[#This Row],[Column7]]+Table_1[[#This Row],[Column6]]+Table_1[[#This Row],[Column5]]+Table_1[[#This Row],[Column4]]</f>
        <v>8</v>
      </c>
      <c r="I278" s="38">
        <v>55000</v>
      </c>
      <c r="J278" s="34">
        <f>+'PACC GENERAL 2026'!$H278*'PACC GENERAL 2026'!$I278</f>
        <v>440000</v>
      </c>
      <c r="K278" s="40"/>
      <c r="L278" s="36"/>
      <c r="M278" s="36"/>
      <c r="N278" s="36"/>
      <c r="O278" s="37" t="s">
        <v>1038</v>
      </c>
      <c r="P278" s="323"/>
    </row>
    <row r="279" spans="1:16" s="287" customFormat="1" ht="15.75" customHeight="1">
      <c r="A279" s="36" t="s">
        <v>15</v>
      </c>
      <c r="B279" s="36" t="s">
        <v>492</v>
      </c>
      <c r="C279" s="37" t="s">
        <v>133</v>
      </c>
      <c r="D279" s="133">
        <v>6</v>
      </c>
      <c r="E279" s="290"/>
      <c r="F279" s="138"/>
      <c r="G279" s="138"/>
      <c r="H279" s="67">
        <f>+Table_1[[#This Row],[Column7]]+Table_1[[#This Row],[Column6]]+Table_1[[#This Row],[Column5]]+Table_1[[#This Row],[Column4]]</f>
        <v>6</v>
      </c>
      <c r="I279" s="38">
        <v>48000</v>
      </c>
      <c r="J279" s="34">
        <f>+'PACC GENERAL 2026'!$H279*'PACC GENERAL 2026'!$I279</f>
        <v>288000</v>
      </c>
      <c r="K279" s="40"/>
      <c r="L279" s="36"/>
      <c r="M279" s="36"/>
      <c r="N279" s="36"/>
      <c r="O279" s="37" t="s">
        <v>1038</v>
      </c>
      <c r="P279" s="323"/>
    </row>
    <row r="280" spans="1:16" s="287" customFormat="1" ht="23.15" customHeight="1">
      <c r="A280" s="36" t="s">
        <v>15</v>
      </c>
      <c r="B280" s="36" t="s">
        <v>1043</v>
      </c>
      <c r="C280" s="37" t="s">
        <v>94</v>
      </c>
      <c r="D280" s="133">
        <v>10</v>
      </c>
      <c r="E280" s="295"/>
      <c r="F280" s="195"/>
      <c r="G280" s="138"/>
      <c r="H280" s="67">
        <f>+Table_1[[#This Row],[Column7]]+Table_1[[#This Row],[Column6]]+Table_1[[#This Row],[Column5]]+Table_1[[#This Row],[Column4]]</f>
        <v>10</v>
      </c>
      <c r="I280" s="38">
        <v>35000</v>
      </c>
      <c r="J280" s="39">
        <f>+'PACC GENERAL 2026'!$H280*'PACC GENERAL 2026'!$I280</f>
        <v>350000</v>
      </c>
      <c r="K280" s="40"/>
      <c r="L280" s="36"/>
      <c r="M280" s="36"/>
      <c r="N280" s="36"/>
      <c r="O280" s="37" t="s">
        <v>1038</v>
      </c>
      <c r="P280" s="323"/>
    </row>
    <row r="281" spans="1:16" s="287" customFormat="1" ht="23.15" customHeight="1">
      <c r="A281" s="36" t="s">
        <v>15</v>
      </c>
      <c r="B281" s="105" t="s">
        <v>1079</v>
      </c>
      <c r="C281" s="32" t="s">
        <v>94</v>
      </c>
      <c r="D281" s="329">
        <v>3</v>
      </c>
      <c r="E281" s="213"/>
      <c r="F281" s="329"/>
      <c r="G281" s="329"/>
      <c r="H281" s="67">
        <f>+Table_1[[#This Row],[Column7]]+Table_1[[#This Row],[Column6]]+Table_1[[#This Row],[Column5]]+Table_1[[#This Row],[Column4]]</f>
        <v>3</v>
      </c>
      <c r="I281" s="241">
        <v>35000</v>
      </c>
      <c r="J281" s="39">
        <f>+'PACC GENERAL 2026'!$H281*'PACC GENERAL 2026'!$I281</f>
        <v>105000</v>
      </c>
      <c r="K281" s="40"/>
      <c r="L281" s="36"/>
      <c r="M281" s="36"/>
      <c r="N281" s="36"/>
      <c r="O281" s="37" t="s">
        <v>434</v>
      </c>
      <c r="P281" s="323"/>
    </row>
    <row r="282" spans="1:16" s="287" customFormat="1" ht="23.15" customHeight="1">
      <c r="A282" s="36" t="s">
        <v>15</v>
      </c>
      <c r="B282" s="105" t="s">
        <v>1080</v>
      </c>
      <c r="C282" s="32" t="s">
        <v>94</v>
      </c>
      <c r="D282" s="329">
        <v>3</v>
      </c>
      <c r="E282" s="213"/>
      <c r="F282" s="329"/>
      <c r="G282" s="329"/>
      <c r="H282" s="67">
        <f>+Table_1[[#This Row],[Column7]]+Table_1[[#This Row],[Column6]]+Table_1[[#This Row],[Column5]]+Table_1[[#This Row],[Column4]]</f>
        <v>3</v>
      </c>
      <c r="I282" s="241">
        <v>10000</v>
      </c>
      <c r="J282" s="39">
        <f>+'PACC GENERAL 2026'!$H282*'PACC GENERAL 2026'!$I282</f>
        <v>30000</v>
      </c>
      <c r="K282" s="40"/>
      <c r="L282" s="36"/>
      <c r="M282" s="36"/>
      <c r="N282" s="36"/>
      <c r="O282" s="37" t="s">
        <v>434</v>
      </c>
      <c r="P282" s="323"/>
    </row>
    <row r="283" spans="1:16" s="287" customFormat="1" ht="23.15" customHeight="1">
      <c r="A283" s="36" t="s">
        <v>15</v>
      </c>
      <c r="B283" s="105" t="s">
        <v>1081</v>
      </c>
      <c r="C283" s="32" t="s">
        <v>94</v>
      </c>
      <c r="D283" s="329">
        <v>1</v>
      </c>
      <c r="E283" s="213"/>
      <c r="F283" s="329"/>
      <c r="G283" s="329"/>
      <c r="H283" s="67">
        <f>+Table_1[[#This Row],[Column7]]+Table_1[[#This Row],[Column6]]+Table_1[[#This Row],[Column5]]+Table_1[[#This Row],[Column4]]</f>
        <v>1</v>
      </c>
      <c r="I283" s="241">
        <v>4500</v>
      </c>
      <c r="J283" s="39">
        <f>+'PACC GENERAL 2026'!$H283*'PACC GENERAL 2026'!$I283</f>
        <v>4500</v>
      </c>
      <c r="K283" s="40"/>
      <c r="L283" s="36"/>
      <c r="M283" s="36"/>
      <c r="N283" s="36"/>
      <c r="O283" s="37" t="s">
        <v>434</v>
      </c>
      <c r="P283" s="323"/>
    </row>
    <row r="284" spans="1:16" s="287" customFormat="1" ht="23.15" customHeight="1">
      <c r="A284" s="36" t="s">
        <v>15</v>
      </c>
      <c r="B284" s="31" t="s">
        <v>121</v>
      </c>
      <c r="C284" s="32" t="s">
        <v>94</v>
      </c>
      <c r="D284" s="329">
        <v>200</v>
      </c>
      <c r="E284" s="213"/>
      <c r="F284" s="329"/>
      <c r="G284" s="329"/>
      <c r="H284" s="67">
        <f>+Table_1[[#This Row],[Column7]]+Table_1[[#This Row],[Column6]]+Table_1[[#This Row],[Column5]]+Table_1[[#This Row],[Column4]]</f>
        <v>200</v>
      </c>
      <c r="I284" s="241">
        <v>290</v>
      </c>
      <c r="J284" s="39">
        <f>+'PACC GENERAL 2026'!$H284*'PACC GENERAL 2026'!$I284</f>
        <v>58000</v>
      </c>
      <c r="K284" s="40"/>
      <c r="L284" s="36"/>
      <c r="M284" s="36"/>
      <c r="N284" s="36"/>
      <c r="O284" s="37" t="s">
        <v>1224</v>
      </c>
      <c r="P284" s="323"/>
    </row>
    <row r="285" spans="1:16" s="287" customFormat="1" ht="23.15" customHeight="1">
      <c r="A285" s="36" t="s">
        <v>15</v>
      </c>
      <c r="B285" s="31" t="s">
        <v>535</v>
      </c>
      <c r="C285" s="32" t="s">
        <v>94</v>
      </c>
      <c r="D285" s="329">
        <v>10</v>
      </c>
      <c r="E285" s="213"/>
      <c r="F285" s="329"/>
      <c r="G285" s="329"/>
      <c r="H285" s="67">
        <f>+Table_1[[#This Row],[Column7]]+Table_1[[#This Row],[Column6]]+Table_1[[#This Row],[Column5]]+Table_1[[#This Row],[Column4]]</f>
        <v>10</v>
      </c>
      <c r="I285" s="241">
        <v>30000</v>
      </c>
      <c r="J285" s="39">
        <f>+'PACC GENERAL 2026'!$H285*'PACC GENERAL 2026'!$I285</f>
        <v>300000</v>
      </c>
      <c r="K285" s="40"/>
      <c r="L285" s="36"/>
      <c r="M285" s="36"/>
      <c r="N285" s="36"/>
      <c r="O285" s="37" t="s">
        <v>1224</v>
      </c>
      <c r="P285" s="323"/>
    </row>
    <row r="286" spans="1:16" s="287" customFormat="1" ht="23.15" customHeight="1">
      <c r="A286" s="36" t="s">
        <v>15</v>
      </c>
      <c r="B286" s="31" t="s">
        <v>126</v>
      </c>
      <c r="C286" s="32" t="s">
        <v>94</v>
      </c>
      <c r="D286" s="329">
        <v>100</v>
      </c>
      <c r="E286" s="213"/>
      <c r="F286" s="329"/>
      <c r="G286" s="329"/>
      <c r="H286" s="67">
        <f>+Table_1[[#This Row],[Column7]]+Table_1[[#This Row],[Column6]]+Table_1[[#This Row],[Column5]]+Table_1[[#This Row],[Column4]]</f>
        <v>100</v>
      </c>
      <c r="I286" s="241">
        <v>1388</v>
      </c>
      <c r="J286" s="39">
        <f>+'PACC GENERAL 2026'!$H286*'PACC GENERAL 2026'!$I286</f>
        <v>138800</v>
      </c>
      <c r="K286" s="40"/>
      <c r="L286" s="36"/>
      <c r="M286" s="36"/>
      <c r="N286" s="36"/>
      <c r="O286" s="37" t="s">
        <v>1224</v>
      </c>
      <c r="P286" s="323"/>
    </row>
    <row r="287" spans="1:16" s="287" customFormat="1" ht="23.15" customHeight="1">
      <c r="A287" s="36" t="s">
        <v>15</v>
      </c>
      <c r="B287" s="31" t="s">
        <v>127</v>
      </c>
      <c r="C287" s="32" t="s">
        <v>94</v>
      </c>
      <c r="D287" s="329">
        <v>100</v>
      </c>
      <c r="E287" s="213"/>
      <c r="F287" s="329"/>
      <c r="G287" s="329"/>
      <c r="H287" s="67">
        <f>+Table_1[[#This Row],[Column7]]+Table_1[[#This Row],[Column6]]+Table_1[[#This Row],[Column5]]+Table_1[[#This Row],[Column4]]</f>
        <v>100</v>
      </c>
      <c r="I287" s="241">
        <v>2600</v>
      </c>
      <c r="J287" s="39">
        <f>+'PACC GENERAL 2026'!$H287*'PACC GENERAL 2026'!$I287</f>
        <v>260000</v>
      </c>
      <c r="K287" s="40"/>
      <c r="L287" s="36"/>
      <c r="M287" s="36"/>
      <c r="N287" s="36"/>
      <c r="O287" s="37" t="s">
        <v>1224</v>
      </c>
      <c r="P287" s="323"/>
    </row>
    <row r="288" spans="1:16" s="287" customFormat="1" ht="23.15" customHeight="1">
      <c r="A288" s="36" t="s">
        <v>15</v>
      </c>
      <c r="B288" s="31" t="s">
        <v>128</v>
      </c>
      <c r="C288" s="32" t="s">
        <v>94</v>
      </c>
      <c r="D288" s="329">
        <v>100</v>
      </c>
      <c r="E288" s="213"/>
      <c r="F288" s="329"/>
      <c r="G288" s="329"/>
      <c r="H288" s="67">
        <f>+Table_1[[#This Row],[Column7]]+Table_1[[#This Row],[Column6]]+Table_1[[#This Row],[Column5]]+Table_1[[#This Row],[Column4]]</f>
        <v>100</v>
      </c>
      <c r="I288" s="241">
        <v>2682</v>
      </c>
      <c r="J288" s="39">
        <f>+'PACC GENERAL 2026'!$H288*'PACC GENERAL 2026'!$I288</f>
        <v>268200</v>
      </c>
      <c r="K288" s="40"/>
      <c r="L288" s="36"/>
      <c r="M288" s="36"/>
      <c r="N288" s="36"/>
      <c r="O288" s="37" t="s">
        <v>1224</v>
      </c>
      <c r="P288" s="323"/>
    </row>
    <row r="289" spans="1:16" s="287" customFormat="1" ht="23.15" customHeight="1">
      <c r="A289" s="36" t="s">
        <v>15</v>
      </c>
      <c r="B289" s="31" t="s">
        <v>129</v>
      </c>
      <c r="C289" s="32" t="s">
        <v>94</v>
      </c>
      <c r="D289" s="329">
        <v>100</v>
      </c>
      <c r="E289" s="213"/>
      <c r="F289" s="329"/>
      <c r="G289" s="329"/>
      <c r="H289" s="67">
        <f>+Table_1[[#This Row],[Column7]]+Table_1[[#This Row],[Column6]]+Table_1[[#This Row],[Column5]]+Table_1[[#This Row],[Column4]]</f>
        <v>100</v>
      </c>
      <c r="I289" s="241">
        <v>3460</v>
      </c>
      <c r="J289" s="39">
        <f>+'PACC GENERAL 2026'!$H289*'PACC GENERAL 2026'!$I289</f>
        <v>346000</v>
      </c>
      <c r="K289" s="40"/>
      <c r="L289" s="36"/>
      <c r="M289" s="36"/>
      <c r="N289" s="36"/>
      <c r="O289" s="37" t="s">
        <v>1224</v>
      </c>
      <c r="P289" s="323"/>
    </row>
    <row r="290" spans="1:16" s="287" customFormat="1" ht="23.15" customHeight="1">
      <c r="A290" s="36" t="s">
        <v>15</v>
      </c>
      <c r="B290" s="31" t="s">
        <v>130</v>
      </c>
      <c r="C290" s="32" t="s">
        <v>94</v>
      </c>
      <c r="D290" s="329">
        <v>100</v>
      </c>
      <c r="E290" s="213"/>
      <c r="F290" s="329"/>
      <c r="G290" s="329"/>
      <c r="H290" s="67">
        <f>+Table_1[[#This Row],[Column7]]+Table_1[[#This Row],[Column6]]+Table_1[[#This Row],[Column5]]+Table_1[[#This Row],[Column4]]</f>
        <v>100</v>
      </c>
      <c r="I290" s="241">
        <v>980</v>
      </c>
      <c r="J290" s="39">
        <f>+'PACC GENERAL 2026'!$H290*'PACC GENERAL 2026'!$I290</f>
        <v>98000</v>
      </c>
      <c r="K290" s="40"/>
      <c r="L290" s="36"/>
      <c r="M290" s="36"/>
      <c r="N290" s="36"/>
      <c r="O290" s="37" t="s">
        <v>1224</v>
      </c>
      <c r="P290" s="323"/>
    </row>
    <row r="291" spans="1:16" s="287" customFormat="1" ht="23.15" customHeight="1">
      <c r="A291" s="36" t="s">
        <v>15</v>
      </c>
      <c r="B291" s="31" t="s">
        <v>772</v>
      </c>
      <c r="C291" s="32" t="s">
        <v>93</v>
      </c>
      <c r="D291" s="329">
        <v>100</v>
      </c>
      <c r="E291" s="213"/>
      <c r="F291" s="329"/>
      <c r="G291" s="329"/>
      <c r="H291" s="67">
        <f>+Table_1[[#This Row],[Column7]]+Table_1[[#This Row],[Column6]]+Table_1[[#This Row],[Column5]]+Table_1[[#This Row],[Column4]]</f>
        <v>100</v>
      </c>
      <c r="I291" s="241">
        <v>2950</v>
      </c>
      <c r="J291" s="39">
        <f>+'PACC GENERAL 2026'!$H291*'PACC GENERAL 2026'!$I291</f>
        <v>295000</v>
      </c>
      <c r="K291" s="40"/>
      <c r="L291" s="36"/>
      <c r="M291" s="36"/>
      <c r="N291" s="36"/>
      <c r="O291" s="37" t="s">
        <v>1224</v>
      </c>
      <c r="P291" s="323"/>
    </row>
    <row r="292" spans="1:16" s="287" customFormat="1" ht="23.15" customHeight="1">
      <c r="A292" s="36" t="s">
        <v>15</v>
      </c>
      <c r="B292" s="31" t="s">
        <v>140</v>
      </c>
      <c r="C292" s="32" t="s">
        <v>94</v>
      </c>
      <c r="D292" s="329">
        <v>500</v>
      </c>
      <c r="E292" s="213"/>
      <c r="F292" s="329"/>
      <c r="G292" s="329"/>
      <c r="H292" s="67">
        <f>+Table_1[[#This Row],[Column7]]+Table_1[[#This Row],[Column6]]+Table_1[[#This Row],[Column5]]+Table_1[[#This Row],[Column4]]</f>
        <v>500</v>
      </c>
      <c r="I292" s="241">
        <v>70</v>
      </c>
      <c r="J292" s="39">
        <f>+'PACC GENERAL 2026'!$H292*'PACC GENERAL 2026'!$I292</f>
        <v>35000</v>
      </c>
      <c r="K292" s="40"/>
      <c r="L292" s="36"/>
      <c r="M292" s="36"/>
      <c r="N292" s="36"/>
      <c r="O292" s="37" t="s">
        <v>1224</v>
      </c>
      <c r="P292" s="323"/>
    </row>
    <row r="293" spans="1:16" s="287" customFormat="1" ht="23.15" customHeight="1">
      <c r="A293" s="36" t="s">
        <v>15</v>
      </c>
      <c r="B293" s="31" t="s">
        <v>119</v>
      </c>
      <c r="C293" s="32" t="s">
        <v>94</v>
      </c>
      <c r="D293" s="329">
        <v>100</v>
      </c>
      <c r="E293" s="213"/>
      <c r="F293" s="329"/>
      <c r="G293" s="329"/>
      <c r="H293" s="67">
        <f>+Table_1[[#This Row],[Column7]]+Table_1[[#This Row],[Column6]]+Table_1[[#This Row],[Column5]]+Table_1[[#This Row],[Column4]]</f>
        <v>100</v>
      </c>
      <c r="I293" s="241">
        <v>350</v>
      </c>
      <c r="J293" s="39">
        <f>+'PACC GENERAL 2026'!$H293*'PACC GENERAL 2026'!$I293</f>
        <v>35000</v>
      </c>
      <c r="K293" s="40"/>
      <c r="L293" s="36"/>
      <c r="M293" s="36"/>
      <c r="N293" s="36"/>
      <c r="O293" s="37" t="s">
        <v>1224</v>
      </c>
      <c r="P293" s="323"/>
    </row>
    <row r="294" spans="1:16" s="287" customFormat="1" ht="23.15" customHeight="1">
      <c r="A294" s="36" t="s">
        <v>15</v>
      </c>
      <c r="B294" s="31" t="s">
        <v>120</v>
      </c>
      <c r="C294" s="32" t="s">
        <v>94</v>
      </c>
      <c r="D294" s="329">
        <v>100</v>
      </c>
      <c r="E294" s="213"/>
      <c r="F294" s="329"/>
      <c r="G294" s="329"/>
      <c r="H294" s="67">
        <f>+Table_1[[#This Row],[Column7]]+Table_1[[#This Row],[Column6]]+Table_1[[#This Row],[Column5]]+Table_1[[#This Row],[Column4]]</f>
        <v>100</v>
      </c>
      <c r="I294" s="241">
        <v>350</v>
      </c>
      <c r="J294" s="39">
        <f>+'PACC GENERAL 2026'!$H294*'PACC GENERAL 2026'!$I294</f>
        <v>35000</v>
      </c>
      <c r="K294" s="40"/>
      <c r="L294" s="36"/>
      <c r="M294" s="36"/>
      <c r="N294" s="36"/>
      <c r="O294" s="37" t="s">
        <v>1224</v>
      </c>
      <c r="P294" s="323"/>
    </row>
    <row r="295" spans="1:16" s="287" customFormat="1" ht="23.15" customHeight="1">
      <c r="A295" s="36" t="s">
        <v>15</v>
      </c>
      <c r="B295" s="31" t="s">
        <v>122</v>
      </c>
      <c r="C295" s="32" t="s">
        <v>94</v>
      </c>
      <c r="D295" s="329">
        <v>25</v>
      </c>
      <c r="E295" s="213"/>
      <c r="F295" s="329"/>
      <c r="G295" s="329"/>
      <c r="H295" s="67">
        <f>+Table_1[[#This Row],[Column7]]+Table_1[[#This Row],[Column6]]+Table_1[[#This Row],[Column5]]+Table_1[[#This Row],[Column4]]</f>
        <v>25</v>
      </c>
      <c r="I295" s="241">
        <v>1450</v>
      </c>
      <c r="J295" s="39">
        <f>+'PACC GENERAL 2026'!$H295*'PACC GENERAL 2026'!$I295</f>
        <v>36250</v>
      </c>
      <c r="K295" s="40"/>
      <c r="L295" s="36"/>
      <c r="M295" s="36"/>
      <c r="N295" s="36"/>
      <c r="O295" s="37" t="s">
        <v>1224</v>
      </c>
      <c r="P295" s="323"/>
    </row>
    <row r="296" spans="1:16" s="287" customFormat="1" ht="23.15" customHeight="1">
      <c r="A296" s="36" t="s">
        <v>15</v>
      </c>
      <c r="B296" s="31" t="s">
        <v>123</v>
      </c>
      <c r="C296" s="32" t="s">
        <v>94</v>
      </c>
      <c r="D296" s="329">
        <v>100</v>
      </c>
      <c r="E296" s="213"/>
      <c r="F296" s="329"/>
      <c r="G296" s="329"/>
      <c r="H296" s="67">
        <f>+Table_1[[#This Row],[Column7]]+Table_1[[#This Row],[Column6]]+Table_1[[#This Row],[Column5]]+Table_1[[#This Row],[Column4]]</f>
        <v>100</v>
      </c>
      <c r="I296" s="241">
        <v>500</v>
      </c>
      <c r="J296" s="39">
        <f>+'PACC GENERAL 2026'!$H296*'PACC GENERAL 2026'!$I296</f>
        <v>50000</v>
      </c>
      <c r="K296" s="40"/>
      <c r="L296" s="36"/>
      <c r="M296" s="36"/>
      <c r="N296" s="36"/>
      <c r="O296" s="37" t="s">
        <v>1224</v>
      </c>
      <c r="P296" s="323"/>
    </row>
    <row r="297" spans="1:16" s="287" customFormat="1" ht="23.15" customHeight="1">
      <c r="A297" s="36" t="s">
        <v>15</v>
      </c>
      <c r="B297" s="31" t="s">
        <v>124</v>
      </c>
      <c r="C297" s="32" t="s">
        <v>94</v>
      </c>
      <c r="D297" s="329">
        <v>100</v>
      </c>
      <c r="E297" s="213"/>
      <c r="F297" s="329"/>
      <c r="G297" s="329"/>
      <c r="H297" s="67">
        <f>+Table_1[[#This Row],[Column7]]+Table_1[[#This Row],[Column6]]+Table_1[[#This Row],[Column5]]+Table_1[[#This Row],[Column4]]</f>
        <v>100</v>
      </c>
      <c r="I297" s="241">
        <v>675</v>
      </c>
      <c r="J297" s="39">
        <f>+'PACC GENERAL 2026'!$H297*'PACC GENERAL 2026'!$I297</f>
        <v>67500</v>
      </c>
      <c r="K297" s="40"/>
      <c r="L297" s="36"/>
      <c r="M297" s="36"/>
      <c r="N297" s="36"/>
      <c r="O297" s="37" t="s">
        <v>1224</v>
      </c>
      <c r="P297" s="323"/>
    </row>
    <row r="298" spans="1:16" s="287" customFormat="1" ht="23.15" customHeight="1">
      <c r="A298" s="36" t="s">
        <v>15</v>
      </c>
      <c r="B298" s="31" t="s">
        <v>125</v>
      </c>
      <c r="C298" s="32" t="s">
        <v>94</v>
      </c>
      <c r="D298" s="329">
        <v>100</v>
      </c>
      <c r="E298" s="213"/>
      <c r="F298" s="329"/>
      <c r="G298" s="329"/>
      <c r="H298" s="67">
        <f>+Table_1[[#This Row],[Column7]]+Table_1[[#This Row],[Column6]]+Table_1[[#This Row],[Column5]]+Table_1[[#This Row],[Column4]]</f>
        <v>100</v>
      </c>
      <c r="I298" s="241">
        <v>750</v>
      </c>
      <c r="J298" s="39">
        <f>+'PACC GENERAL 2026'!$H298*'PACC GENERAL 2026'!$I298</f>
        <v>75000</v>
      </c>
      <c r="K298" s="40"/>
      <c r="L298" s="36"/>
      <c r="M298" s="36"/>
      <c r="N298" s="36"/>
      <c r="O298" s="37" t="s">
        <v>1224</v>
      </c>
      <c r="P298" s="323"/>
    </row>
    <row r="299" spans="1:16" s="287" customFormat="1" ht="23.15" customHeight="1">
      <c r="A299" s="36" t="s">
        <v>15</v>
      </c>
      <c r="B299" s="31" t="s">
        <v>833</v>
      </c>
      <c r="C299" s="32" t="s">
        <v>94</v>
      </c>
      <c r="D299" s="329">
        <v>10</v>
      </c>
      <c r="E299" s="213"/>
      <c r="F299" s="329"/>
      <c r="G299" s="329"/>
      <c r="H299" s="67">
        <f>+Table_1[[#This Row],[Column7]]+Table_1[[#This Row],[Column6]]+Table_1[[#This Row],[Column5]]+Table_1[[#This Row],[Column4]]</f>
        <v>10</v>
      </c>
      <c r="I299" s="241">
        <v>96000</v>
      </c>
      <c r="J299" s="39">
        <f>+'PACC GENERAL 2026'!$H299*'PACC GENERAL 2026'!$I299</f>
        <v>960000</v>
      </c>
      <c r="K299" s="40"/>
      <c r="L299" s="36"/>
      <c r="M299" s="36"/>
      <c r="N299" s="36"/>
      <c r="O299" s="37" t="s">
        <v>1224</v>
      </c>
      <c r="P299" s="323"/>
    </row>
    <row r="300" spans="1:16" s="287" customFormat="1" ht="23.15" customHeight="1">
      <c r="A300" s="36" t="s">
        <v>15</v>
      </c>
      <c r="B300" s="31" t="s">
        <v>1228</v>
      </c>
      <c r="C300" s="32" t="s">
        <v>93</v>
      </c>
      <c r="D300" s="329">
        <v>130</v>
      </c>
      <c r="E300" s="213"/>
      <c r="F300" s="329"/>
      <c r="G300" s="329"/>
      <c r="H300" s="67">
        <f>+Table_1[[#This Row],[Column7]]+Table_1[[#This Row],[Column6]]+Table_1[[#This Row],[Column5]]+Table_1[[#This Row],[Column4]]</f>
        <v>130</v>
      </c>
      <c r="I300" s="241">
        <v>143</v>
      </c>
      <c r="J300" s="39">
        <f>+'PACC GENERAL 2026'!$H300*'PACC GENERAL 2026'!$I300</f>
        <v>18590</v>
      </c>
      <c r="K300" s="40"/>
      <c r="L300" s="36"/>
      <c r="M300" s="36"/>
      <c r="N300" s="36"/>
      <c r="O300" s="37" t="s">
        <v>1224</v>
      </c>
      <c r="P300" s="323"/>
    </row>
    <row r="301" spans="1:16" s="287" customFormat="1" ht="23.15" customHeight="1">
      <c r="A301" s="36" t="s">
        <v>15</v>
      </c>
      <c r="B301" s="31" t="s">
        <v>1229</v>
      </c>
      <c r="C301" s="32" t="s">
        <v>93</v>
      </c>
      <c r="D301" s="329">
        <v>130</v>
      </c>
      <c r="E301" s="213"/>
      <c r="F301" s="329"/>
      <c r="G301" s="329"/>
      <c r="H301" s="67">
        <f>+Table_1[[#This Row],[Column7]]+Table_1[[#This Row],[Column6]]+Table_1[[#This Row],[Column5]]+Table_1[[#This Row],[Column4]]</f>
        <v>130</v>
      </c>
      <c r="I301" s="241">
        <v>180</v>
      </c>
      <c r="J301" s="39">
        <f>+'PACC GENERAL 2026'!$H301*'PACC GENERAL 2026'!$I301</f>
        <v>23400</v>
      </c>
      <c r="K301" s="40"/>
      <c r="L301" s="36"/>
      <c r="M301" s="36"/>
      <c r="N301" s="36"/>
      <c r="O301" s="37" t="s">
        <v>1224</v>
      </c>
      <c r="P301" s="323"/>
    </row>
    <row r="302" spans="1:16" s="287" customFormat="1" ht="23.15" customHeight="1">
      <c r="A302" s="36" t="s">
        <v>15</v>
      </c>
      <c r="B302" s="31" t="s">
        <v>1230</v>
      </c>
      <c r="C302" s="32" t="s">
        <v>93</v>
      </c>
      <c r="D302" s="329">
        <v>130</v>
      </c>
      <c r="E302" s="213"/>
      <c r="F302" s="329"/>
      <c r="G302" s="329"/>
      <c r="H302" s="67">
        <f>+Table_1[[#This Row],[Column7]]+Table_1[[#This Row],[Column6]]+Table_1[[#This Row],[Column5]]+Table_1[[#This Row],[Column4]]</f>
        <v>130</v>
      </c>
      <c r="I302" s="241">
        <v>220</v>
      </c>
      <c r="J302" s="39">
        <f>+'PACC GENERAL 2026'!$H302*'PACC GENERAL 2026'!$I302</f>
        <v>28600</v>
      </c>
      <c r="K302" s="40"/>
      <c r="L302" s="36"/>
      <c r="M302" s="36"/>
      <c r="N302" s="36"/>
      <c r="O302" s="37" t="s">
        <v>1224</v>
      </c>
      <c r="P302" s="323"/>
    </row>
    <row r="303" spans="1:16" s="287" customFormat="1" ht="23.15" customHeight="1">
      <c r="A303" s="36" t="s">
        <v>15</v>
      </c>
      <c r="B303" s="31" t="s">
        <v>1231</v>
      </c>
      <c r="C303" s="32" t="s">
        <v>93</v>
      </c>
      <c r="D303" s="329">
        <v>130</v>
      </c>
      <c r="E303" s="213"/>
      <c r="F303" s="329"/>
      <c r="G303" s="329"/>
      <c r="H303" s="67">
        <f>+Table_1[[#This Row],[Column7]]+Table_1[[#This Row],[Column6]]+Table_1[[#This Row],[Column5]]+Table_1[[#This Row],[Column4]]</f>
        <v>130</v>
      </c>
      <c r="I303" s="241">
        <v>260</v>
      </c>
      <c r="J303" s="39">
        <f>+'PACC GENERAL 2026'!$H303*'PACC GENERAL 2026'!$I303</f>
        <v>33800</v>
      </c>
      <c r="K303" s="40"/>
      <c r="L303" s="36"/>
      <c r="M303" s="36"/>
      <c r="N303" s="36"/>
      <c r="O303" s="37" t="s">
        <v>1224</v>
      </c>
      <c r="P303" s="323"/>
    </row>
    <row r="304" spans="1:16" s="287" customFormat="1" ht="23.15" customHeight="1">
      <c r="A304" s="36" t="s">
        <v>15</v>
      </c>
      <c r="B304" s="31" t="s">
        <v>1232</v>
      </c>
      <c r="C304" s="32" t="s">
        <v>93</v>
      </c>
      <c r="D304" s="329">
        <v>130</v>
      </c>
      <c r="E304" s="213"/>
      <c r="F304" s="329"/>
      <c r="G304" s="329"/>
      <c r="H304" s="67">
        <f>+Table_1[[#This Row],[Column7]]+Table_1[[#This Row],[Column6]]+Table_1[[#This Row],[Column5]]+Table_1[[#This Row],[Column4]]</f>
        <v>130</v>
      </c>
      <c r="I304" s="241">
        <v>300</v>
      </c>
      <c r="J304" s="39">
        <f>+'PACC GENERAL 2026'!$H304*'PACC GENERAL 2026'!$I304</f>
        <v>39000</v>
      </c>
      <c r="K304" s="40"/>
      <c r="L304" s="36"/>
      <c r="M304" s="36"/>
      <c r="N304" s="36"/>
      <c r="O304" s="37" t="s">
        <v>1224</v>
      </c>
      <c r="P304" s="323"/>
    </row>
    <row r="305" spans="1:16" s="287" customFormat="1" ht="23.15" customHeight="1">
      <c r="A305" s="36" t="s">
        <v>15</v>
      </c>
      <c r="B305" s="31" t="s">
        <v>1233</v>
      </c>
      <c r="C305" s="32" t="s">
        <v>93</v>
      </c>
      <c r="D305" s="329">
        <v>130</v>
      </c>
      <c r="E305" s="213"/>
      <c r="F305" s="329"/>
      <c r="G305" s="329"/>
      <c r="H305" s="67">
        <f>+Table_1[[#This Row],[Column7]]+Table_1[[#This Row],[Column6]]+Table_1[[#This Row],[Column5]]+Table_1[[#This Row],[Column4]]</f>
        <v>130</v>
      </c>
      <c r="I305" s="241">
        <v>350</v>
      </c>
      <c r="J305" s="39">
        <f>+'PACC GENERAL 2026'!$H305*'PACC GENERAL 2026'!$I305</f>
        <v>45500</v>
      </c>
      <c r="K305" s="40"/>
      <c r="L305" s="36"/>
      <c r="M305" s="36"/>
      <c r="N305" s="36"/>
      <c r="O305" s="37" t="s">
        <v>1224</v>
      </c>
      <c r="P305" s="323"/>
    </row>
    <row r="306" spans="1:16" s="287" customFormat="1" ht="23.15" customHeight="1">
      <c r="A306" s="36" t="s">
        <v>15</v>
      </c>
      <c r="B306" s="31" t="s">
        <v>1234</v>
      </c>
      <c r="C306" s="32" t="s">
        <v>93</v>
      </c>
      <c r="D306" s="329">
        <v>130</v>
      </c>
      <c r="E306" s="213"/>
      <c r="F306" s="329"/>
      <c r="G306" s="329"/>
      <c r="H306" s="67">
        <f>+Table_1[[#This Row],[Column7]]+Table_1[[#This Row],[Column6]]+Table_1[[#This Row],[Column5]]+Table_1[[#This Row],[Column4]]</f>
        <v>130</v>
      </c>
      <c r="I306" s="241">
        <v>410</v>
      </c>
      <c r="J306" s="39">
        <f>+'PACC GENERAL 2026'!$H306*'PACC GENERAL 2026'!$I306</f>
        <v>53300</v>
      </c>
      <c r="K306" s="40"/>
      <c r="L306" s="36"/>
      <c r="M306" s="36"/>
      <c r="N306" s="36"/>
      <c r="O306" s="37" t="s">
        <v>1224</v>
      </c>
      <c r="P306" s="323"/>
    </row>
    <row r="307" spans="1:16" s="287" customFormat="1" ht="23.15" customHeight="1">
      <c r="A307" s="36" t="s">
        <v>15</v>
      </c>
      <c r="B307" s="31" t="s">
        <v>1235</v>
      </c>
      <c r="C307" s="32" t="s">
        <v>93</v>
      </c>
      <c r="D307" s="329">
        <v>10</v>
      </c>
      <c r="E307" s="213"/>
      <c r="F307" s="329"/>
      <c r="G307" s="329"/>
      <c r="H307" s="67">
        <f>+Table_1[[#This Row],[Column7]]+Table_1[[#This Row],[Column6]]+Table_1[[#This Row],[Column5]]+Table_1[[#This Row],[Column4]]</f>
        <v>10</v>
      </c>
      <c r="I307" s="241">
        <v>490</v>
      </c>
      <c r="J307" s="39">
        <f>+'PACC GENERAL 2026'!$H307*'PACC GENERAL 2026'!$I307</f>
        <v>4900</v>
      </c>
      <c r="K307" s="40"/>
      <c r="L307" s="36"/>
      <c r="M307" s="36"/>
      <c r="N307" s="36"/>
      <c r="O307" s="37" t="s">
        <v>1224</v>
      </c>
      <c r="P307" s="323"/>
    </row>
    <row r="308" spans="1:16" s="287" customFormat="1" ht="23.15" customHeight="1">
      <c r="A308" s="36" t="s">
        <v>15</v>
      </c>
      <c r="B308" s="31" t="s">
        <v>1236</v>
      </c>
      <c r="C308" s="32" t="s">
        <v>93</v>
      </c>
      <c r="D308" s="329">
        <v>10</v>
      </c>
      <c r="E308" s="213"/>
      <c r="F308" s="329"/>
      <c r="G308" s="329"/>
      <c r="H308" s="67">
        <f>+Table_1[[#This Row],[Column7]]+Table_1[[#This Row],[Column6]]+Table_1[[#This Row],[Column5]]+Table_1[[#This Row],[Column4]]</f>
        <v>10</v>
      </c>
      <c r="I308" s="241">
        <v>500</v>
      </c>
      <c r="J308" s="39">
        <f>+'PACC GENERAL 2026'!$H308*'PACC GENERAL 2026'!$I308</f>
        <v>5000</v>
      </c>
      <c r="K308" s="40"/>
      <c r="L308" s="36"/>
      <c r="M308" s="36"/>
      <c r="N308" s="36"/>
      <c r="O308" s="37" t="s">
        <v>1224</v>
      </c>
      <c r="P308" s="323"/>
    </row>
    <row r="309" spans="1:16" s="287" customFormat="1" ht="23.15" customHeight="1">
      <c r="A309" s="36" t="s">
        <v>15</v>
      </c>
      <c r="B309" s="31" t="s">
        <v>1237</v>
      </c>
      <c r="C309" s="32" t="s">
        <v>93</v>
      </c>
      <c r="D309" s="329">
        <v>10</v>
      </c>
      <c r="E309" s="213"/>
      <c r="F309" s="329"/>
      <c r="G309" s="329"/>
      <c r="H309" s="67">
        <f>+Table_1[[#This Row],[Column7]]+Table_1[[#This Row],[Column6]]+Table_1[[#This Row],[Column5]]+Table_1[[#This Row],[Column4]]</f>
        <v>10</v>
      </c>
      <c r="I309" s="241">
        <v>525</v>
      </c>
      <c r="J309" s="39">
        <f>+'PACC GENERAL 2026'!$H309*'PACC GENERAL 2026'!$I309</f>
        <v>5250</v>
      </c>
      <c r="K309" s="40"/>
      <c r="L309" s="36"/>
      <c r="M309" s="36"/>
      <c r="N309" s="36"/>
      <c r="O309" s="37" t="s">
        <v>1224</v>
      </c>
      <c r="P309" s="323"/>
    </row>
    <row r="310" spans="1:16" s="287" customFormat="1" ht="23.15" customHeight="1">
      <c r="A310" s="36" t="s">
        <v>15</v>
      </c>
      <c r="B310" s="31" t="s">
        <v>1238</v>
      </c>
      <c r="C310" s="32" t="s">
        <v>93</v>
      </c>
      <c r="D310" s="329">
        <v>10</v>
      </c>
      <c r="E310" s="213"/>
      <c r="F310" s="329"/>
      <c r="G310" s="329"/>
      <c r="H310" s="67">
        <f>+Table_1[[#This Row],[Column7]]+Table_1[[#This Row],[Column6]]+Table_1[[#This Row],[Column5]]+Table_1[[#This Row],[Column4]]</f>
        <v>10</v>
      </c>
      <c r="I310" s="241">
        <v>575</v>
      </c>
      <c r="J310" s="39">
        <f>+'PACC GENERAL 2026'!$H310*'PACC GENERAL 2026'!$I310</f>
        <v>5750</v>
      </c>
      <c r="K310" s="40"/>
      <c r="L310" s="36"/>
      <c r="M310" s="36"/>
      <c r="N310" s="36"/>
      <c r="O310" s="37" t="s">
        <v>1224</v>
      </c>
      <c r="P310" s="323"/>
    </row>
    <row r="311" spans="1:16" s="287" customFormat="1" ht="23.15" customHeight="1">
      <c r="A311" s="36" t="s">
        <v>15</v>
      </c>
      <c r="B311" s="31" t="s">
        <v>1239</v>
      </c>
      <c r="C311" s="32" t="s">
        <v>93</v>
      </c>
      <c r="D311" s="329">
        <v>10</v>
      </c>
      <c r="E311" s="213"/>
      <c r="F311" s="329"/>
      <c r="G311" s="329"/>
      <c r="H311" s="67">
        <f>+Table_1[[#This Row],[Column7]]+Table_1[[#This Row],[Column6]]+Table_1[[#This Row],[Column5]]+Table_1[[#This Row],[Column4]]</f>
        <v>10</v>
      </c>
      <c r="I311" s="241">
        <v>600</v>
      </c>
      <c r="J311" s="39">
        <f>+'PACC GENERAL 2026'!$H311*'PACC GENERAL 2026'!$I311</f>
        <v>6000</v>
      </c>
      <c r="K311" s="40"/>
      <c r="L311" s="36"/>
      <c r="M311" s="36"/>
      <c r="N311" s="36"/>
      <c r="O311" s="37" t="s">
        <v>1224</v>
      </c>
      <c r="P311" s="323"/>
    </row>
    <row r="312" spans="1:16" s="287" customFormat="1" ht="23.15" customHeight="1">
      <c r="A312" s="36" t="s">
        <v>15</v>
      </c>
      <c r="B312" s="31" t="s">
        <v>1240</v>
      </c>
      <c r="C312" s="32" t="s">
        <v>93</v>
      </c>
      <c r="D312" s="329">
        <v>10</v>
      </c>
      <c r="E312" s="213"/>
      <c r="F312" s="329"/>
      <c r="G312" s="329"/>
      <c r="H312" s="67">
        <f>+Table_1[[#This Row],[Column7]]+Table_1[[#This Row],[Column6]]+Table_1[[#This Row],[Column5]]+Table_1[[#This Row],[Column4]]</f>
        <v>10</v>
      </c>
      <c r="I312" s="241">
        <v>700</v>
      </c>
      <c r="J312" s="39">
        <f>+'PACC GENERAL 2026'!$H312*'PACC GENERAL 2026'!$I312</f>
        <v>7000</v>
      </c>
      <c r="K312" s="40"/>
      <c r="L312" s="36"/>
      <c r="M312" s="36"/>
      <c r="N312" s="36"/>
      <c r="O312" s="37" t="s">
        <v>1224</v>
      </c>
      <c r="P312" s="323"/>
    </row>
    <row r="313" spans="1:16" s="287" customFormat="1" ht="23.15" customHeight="1">
      <c r="A313" s="36" t="s">
        <v>15</v>
      </c>
      <c r="B313" s="31" t="s">
        <v>1241</v>
      </c>
      <c r="C313" s="32" t="s">
        <v>93</v>
      </c>
      <c r="D313" s="329">
        <v>10</v>
      </c>
      <c r="E313" s="213"/>
      <c r="F313" s="329"/>
      <c r="G313" s="329"/>
      <c r="H313" s="67">
        <f>+Table_1[[#This Row],[Column7]]+Table_1[[#This Row],[Column6]]+Table_1[[#This Row],[Column5]]+Table_1[[#This Row],[Column4]]</f>
        <v>10</v>
      </c>
      <c r="I313" s="241">
        <v>300</v>
      </c>
      <c r="J313" s="39">
        <f>+'PACC GENERAL 2026'!$H313*'PACC GENERAL 2026'!$I313</f>
        <v>3000</v>
      </c>
      <c r="K313" s="40"/>
      <c r="L313" s="36"/>
      <c r="M313" s="36"/>
      <c r="N313" s="36"/>
      <c r="O313" s="37" t="s">
        <v>1224</v>
      </c>
      <c r="P313" s="323"/>
    </row>
    <row r="314" spans="1:16" s="287" customFormat="1" ht="23.15" customHeight="1">
      <c r="A314" s="36" t="s">
        <v>15</v>
      </c>
      <c r="B314" s="31" t="s">
        <v>1242</v>
      </c>
      <c r="C314" s="32" t="s">
        <v>93</v>
      </c>
      <c r="D314" s="329">
        <v>4</v>
      </c>
      <c r="E314" s="213"/>
      <c r="F314" s="329"/>
      <c r="G314" s="329"/>
      <c r="H314" s="67">
        <f>+Table_1[[#This Row],[Column7]]+Table_1[[#This Row],[Column6]]+Table_1[[#This Row],[Column5]]+Table_1[[#This Row],[Column4]]</f>
        <v>4</v>
      </c>
      <c r="I314" s="241">
        <v>700</v>
      </c>
      <c r="J314" s="39">
        <f>+'PACC GENERAL 2026'!$H314*'PACC GENERAL 2026'!$I314</f>
        <v>2800</v>
      </c>
      <c r="K314" s="40"/>
      <c r="L314" s="36"/>
      <c r="M314" s="36"/>
      <c r="N314" s="36"/>
      <c r="O314" s="37" t="s">
        <v>1224</v>
      </c>
      <c r="P314" s="323"/>
    </row>
    <row r="315" spans="1:16" s="287" customFormat="1" ht="23.15" customHeight="1">
      <c r="A315" s="36" t="s">
        <v>15</v>
      </c>
      <c r="B315" s="31" t="s">
        <v>1243</v>
      </c>
      <c r="C315" s="32" t="s">
        <v>93</v>
      </c>
      <c r="D315" s="329">
        <v>10</v>
      </c>
      <c r="E315" s="213"/>
      <c r="F315" s="329"/>
      <c r="G315" s="329"/>
      <c r="H315" s="67">
        <f>+Table_1[[#This Row],[Column7]]+Table_1[[#This Row],[Column6]]+Table_1[[#This Row],[Column5]]+Table_1[[#This Row],[Column4]]</f>
        <v>10</v>
      </c>
      <c r="I315" s="241">
        <v>400</v>
      </c>
      <c r="J315" s="39">
        <f>+'PACC GENERAL 2026'!$H315*'PACC GENERAL 2026'!$I315</f>
        <v>4000</v>
      </c>
      <c r="K315" s="40"/>
      <c r="L315" s="36"/>
      <c r="M315" s="36"/>
      <c r="N315" s="36"/>
      <c r="O315" s="37" t="s">
        <v>1224</v>
      </c>
      <c r="P315" s="323"/>
    </row>
    <row r="316" spans="1:16" s="287" customFormat="1" ht="23.15" customHeight="1">
      <c r="A316" s="36" t="s">
        <v>15</v>
      </c>
      <c r="B316" s="31" t="s">
        <v>1244</v>
      </c>
      <c r="C316" s="32" t="s">
        <v>93</v>
      </c>
      <c r="D316" s="329">
        <v>5</v>
      </c>
      <c r="E316" s="213"/>
      <c r="F316" s="329"/>
      <c r="G316" s="329"/>
      <c r="H316" s="67">
        <f>+Table_1[[#This Row],[Column7]]+Table_1[[#This Row],[Column6]]+Table_1[[#This Row],[Column5]]+Table_1[[#This Row],[Column4]]</f>
        <v>5</v>
      </c>
      <c r="I316" s="241">
        <v>1900</v>
      </c>
      <c r="J316" s="39">
        <f>+'PACC GENERAL 2026'!$H316*'PACC GENERAL 2026'!$I316</f>
        <v>9500</v>
      </c>
      <c r="K316" s="40"/>
      <c r="L316" s="36"/>
      <c r="M316" s="36"/>
      <c r="N316" s="36"/>
      <c r="O316" s="37" t="s">
        <v>1224</v>
      </c>
      <c r="P316" s="323"/>
    </row>
    <row r="317" spans="1:16" s="418" customFormat="1" ht="15.5">
      <c r="A317" s="126" t="s">
        <v>15</v>
      </c>
      <c r="B317" s="126" t="s">
        <v>1149</v>
      </c>
      <c r="C317" s="420" t="s">
        <v>133</v>
      </c>
      <c r="D317" s="427">
        <v>10</v>
      </c>
      <c r="E317" s="416"/>
      <c r="F317" s="421"/>
      <c r="G317" s="421"/>
      <c r="H317" s="410">
        <f>+Table_1[[#This Row],[Column7]]+Table_1[[#This Row],[Column6]]+Table_1[[#This Row],[Column5]]+Table_1[[#This Row],[Column4]]</f>
        <v>10</v>
      </c>
      <c r="I317" s="274">
        <v>182</v>
      </c>
      <c r="J317" s="422">
        <f>'PACC GENERAL 2026'!$I317*'PACC GENERAL 2026'!$H317</f>
        <v>1820</v>
      </c>
      <c r="K317" s="423"/>
      <c r="L317" s="126"/>
      <c r="M317" s="425"/>
      <c r="N317" s="425"/>
      <c r="O317" s="426" t="s">
        <v>434</v>
      </c>
      <c r="P317" s="417"/>
    </row>
    <row r="318" spans="1:16" s="418" customFormat="1" ht="15.5">
      <c r="A318" s="126" t="s">
        <v>15</v>
      </c>
      <c r="B318" s="126" t="s">
        <v>1668</v>
      </c>
      <c r="C318" s="420" t="s">
        <v>133</v>
      </c>
      <c r="D318" s="427">
        <v>10</v>
      </c>
      <c r="E318" s="416"/>
      <c r="F318" s="421"/>
      <c r="G318" s="421"/>
      <c r="H318" s="410">
        <f>+Table_1[[#This Row],[Column7]]+Table_1[[#This Row],[Column6]]+Table_1[[#This Row],[Column5]]+Table_1[[#This Row],[Column4]]</f>
        <v>10</v>
      </c>
      <c r="I318" s="274">
        <v>75</v>
      </c>
      <c r="J318" s="422">
        <f>'PACC GENERAL 2026'!$I318*'PACC GENERAL 2026'!$H318</f>
        <v>750</v>
      </c>
      <c r="K318" s="423"/>
      <c r="L318" s="126"/>
      <c r="M318" s="425"/>
      <c r="N318" s="425"/>
      <c r="O318" s="426" t="s">
        <v>434</v>
      </c>
      <c r="P318" s="417"/>
    </row>
    <row r="319" spans="1:16" s="418" customFormat="1" ht="15.5">
      <c r="A319" s="126" t="s">
        <v>15</v>
      </c>
      <c r="B319" s="126" t="s">
        <v>1313</v>
      </c>
      <c r="C319" s="420" t="s">
        <v>94</v>
      </c>
      <c r="D319" s="416"/>
      <c r="E319" s="416"/>
      <c r="F319" s="427">
        <v>8</v>
      </c>
      <c r="G319" s="416"/>
      <c r="H319" s="410">
        <f>+Table_1[[#This Row],[Column7]]+Table_1[[#This Row],[Column6]]+Table_1[[#This Row],[Column5]]+Table_1[[#This Row],[Column4]]</f>
        <v>8</v>
      </c>
      <c r="I319" s="274">
        <v>620</v>
      </c>
      <c r="J319" s="422">
        <f>'PACC GENERAL 2026'!$I319*'PACC GENERAL 2026'!$H319</f>
        <v>4960</v>
      </c>
      <c r="K319" s="423"/>
      <c r="L319" s="126"/>
      <c r="M319" s="425"/>
      <c r="N319" s="425"/>
      <c r="O319" s="426" t="s">
        <v>1312</v>
      </c>
      <c r="P319" s="417"/>
    </row>
    <row r="320" spans="1:16" s="287" customFormat="1" ht="15.5">
      <c r="A320" s="36" t="s">
        <v>15</v>
      </c>
      <c r="B320" s="31" t="s">
        <v>1245</v>
      </c>
      <c r="C320" s="32" t="s">
        <v>94</v>
      </c>
      <c r="D320" s="329">
        <v>100</v>
      </c>
      <c r="E320" s="213"/>
      <c r="F320" s="329"/>
      <c r="G320" s="329"/>
      <c r="H320" s="67">
        <f>+Table_1[[#This Row],[Column7]]+Table_1[[#This Row],[Column6]]+Table_1[[#This Row],[Column5]]+Table_1[[#This Row],[Column4]]</f>
        <v>100</v>
      </c>
      <c r="I320" s="241">
        <v>620</v>
      </c>
      <c r="J320" s="39">
        <f>+'PACC GENERAL 2026'!$H320*'PACC GENERAL 2026'!$I320</f>
        <v>62000</v>
      </c>
      <c r="K320" s="40"/>
      <c r="L320" s="36"/>
      <c r="M320" s="36"/>
      <c r="N320" s="36"/>
      <c r="O320" s="37" t="s">
        <v>1224</v>
      </c>
      <c r="P320" s="323"/>
    </row>
    <row r="321" spans="1:16" s="418" customFormat="1" ht="15.75" customHeight="1">
      <c r="A321" s="126" t="s">
        <v>15</v>
      </c>
      <c r="B321" s="126" t="s">
        <v>915</v>
      </c>
      <c r="C321" s="420" t="s">
        <v>133</v>
      </c>
      <c r="D321" s="416">
        <v>2</v>
      </c>
      <c r="E321" s="416"/>
      <c r="F321" s="500"/>
      <c r="G321" s="421"/>
      <c r="H321" s="410">
        <f>+Table_1[[#This Row],[Column7]]+Table_1[[#This Row],[Column6]]+Table_1[[#This Row],[Column5]]+Table_1[[#This Row],[Column4]]</f>
        <v>2</v>
      </c>
      <c r="I321" s="274">
        <v>12000</v>
      </c>
      <c r="J321" s="422">
        <f>+'PACC GENERAL 2026'!$H321*'PACC GENERAL 2026'!$I321</f>
        <v>24000</v>
      </c>
      <c r="K321" s="423"/>
      <c r="L321" s="420"/>
      <c r="M321" s="425"/>
      <c r="N321" s="425"/>
      <c r="O321" s="420" t="s">
        <v>404</v>
      </c>
      <c r="P321" s="417"/>
    </row>
    <row r="322" spans="1:16" s="418" customFormat="1" ht="15.75" customHeight="1">
      <c r="A322" s="126" t="s">
        <v>15</v>
      </c>
      <c r="B322" s="126" t="s">
        <v>916</v>
      </c>
      <c r="C322" s="420" t="s">
        <v>133</v>
      </c>
      <c r="D322" s="416">
        <v>2</v>
      </c>
      <c r="E322" s="416"/>
      <c r="F322" s="500"/>
      <c r="G322" s="421"/>
      <c r="H322" s="410">
        <f>+Table_1[[#This Row],[Column7]]+Table_1[[#This Row],[Column6]]+Table_1[[#This Row],[Column5]]+Table_1[[#This Row],[Column4]]</f>
        <v>2</v>
      </c>
      <c r="I322" s="274">
        <v>20000</v>
      </c>
      <c r="J322" s="422">
        <f>+'PACC GENERAL 2026'!$H322*'PACC GENERAL 2026'!$I322</f>
        <v>40000</v>
      </c>
      <c r="K322" s="423"/>
      <c r="L322" s="420"/>
      <c r="M322" s="425"/>
      <c r="N322" s="425"/>
      <c r="O322" s="420" t="s">
        <v>404</v>
      </c>
      <c r="P322" s="417"/>
    </row>
    <row r="323" spans="1:16" s="418" customFormat="1" ht="15.5">
      <c r="A323" s="434" t="s">
        <v>15</v>
      </c>
      <c r="B323" s="434" t="s">
        <v>937</v>
      </c>
      <c r="C323" s="420" t="s">
        <v>94</v>
      </c>
      <c r="D323" s="440">
        <v>15</v>
      </c>
      <c r="E323" s="421"/>
      <c r="F323" s="416"/>
      <c r="G323" s="421"/>
      <c r="H323" s="410">
        <f>+Table_1[[#This Row],[Column7]]+Table_1[[#This Row],[Column6]]+Table_1[[#This Row],[Column5]]+Table_1[[#This Row],[Column4]]</f>
        <v>15</v>
      </c>
      <c r="I323" s="431">
        <v>1070</v>
      </c>
      <c r="J323" s="422">
        <f>H323*I323</f>
        <v>16050</v>
      </c>
      <c r="K323" s="465"/>
      <c r="L323" s="434"/>
      <c r="M323" s="434"/>
      <c r="N323" s="434"/>
      <c r="O323" s="420" t="s">
        <v>941</v>
      </c>
      <c r="P323" s="417"/>
    </row>
    <row r="324" spans="1:16" s="418" customFormat="1" ht="15.5">
      <c r="A324" s="434" t="s">
        <v>15</v>
      </c>
      <c r="B324" s="434" t="s">
        <v>938</v>
      </c>
      <c r="C324" s="420" t="s">
        <v>94</v>
      </c>
      <c r="D324" s="440">
        <v>25</v>
      </c>
      <c r="E324" s="421"/>
      <c r="F324" s="416"/>
      <c r="G324" s="421"/>
      <c r="H324" s="410">
        <f>+Table_1[[#This Row],[Column7]]+Table_1[[#This Row],[Column6]]+Table_1[[#This Row],[Column5]]+Table_1[[#This Row],[Column4]]</f>
        <v>25</v>
      </c>
      <c r="I324" s="431">
        <v>1164</v>
      </c>
      <c r="J324" s="422">
        <f>H324*I324</f>
        <v>29100</v>
      </c>
      <c r="K324" s="465"/>
      <c r="L324" s="434"/>
      <c r="M324" s="434"/>
      <c r="N324" s="434"/>
      <c r="O324" s="420" t="s">
        <v>941</v>
      </c>
      <c r="P324" s="417"/>
    </row>
    <row r="325" spans="1:16" s="418" customFormat="1" ht="15.5">
      <c r="A325" s="434" t="s">
        <v>15</v>
      </c>
      <c r="B325" s="434" t="s">
        <v>939</v>
      </c>
      <c r="C325" s="420" t="s">
        <v>94</v>
      </c>
      <c r="D325" s="440">
        <v>4</v>
      </c>
      <c r="E325" s="421"/>
      <c r="F325" s="416"/>
      <c r="G325" s="421"/>
      <c r="H325" s="410">
        <f>+Table_1[[#This Row],[Column7]]+Table_1[[#This Row],[Column6]]+Table_1[[#This Row],[Column5]]+Table_1[[#This Row],[Column4]]</f>
        <v>4</v>
      </c>
      <c r="I325" s="431">
        <v>1300</v>
      </c>
      <c r="J325" s="422">
        <f>H325*I325</f>
        <v>5200</v>
      </c>
      <c r="K325" s="465"/>
      <c r="L325" s="434"/>
      <c r="M325" s="434"/>
      <c r="N325" s="434"/>
      <c r="O325" s="420" t="s">
        <v>941</v>
      </c>
      <c r="P325" s="417"/>
    </row>
    <row r="326" spans="1:16" s="287" customFormat="1" ht="23.15" customHeight="1">
      <c r="A326" s="36" t="s">
        <v>15</v>
      </c>
      <c r="B326" s="36" t="s">
        <v>492</v>
      </c>
      <c r="C326" s="37" t="s">
        <v>133</v>
      </c>
      <c r="D326" s="295"/>
      <c r="E326" s="292"/>
      <c r="F326" s="138"/>
      <c r="G326" s="138"/>
      <c r="H326" s="67">
        <f>+Table_1[[#This Row],[Column7]]+Table_1[[#This Row],[Column6]]+Table_1[[#This Row],[Column5]]+Table_1[[#This Row],[Column4]]</f>
        <v>0</v>
      </c>
      <c r="I326" s="38">
        <v>75000</v>
      </c>
      <c r="J326" s="34">
        <f>+'PACC GENERAL 2026'!$H326*'PACC GENERAL 2026'!$I326</f>
        <v>0</v>
      </c>
      <c r="K326" s="40"/>
      <c r="L326" s="36"/>
      <c r="M326" s="36"/>
      <c r="N326" s="36"/>
      <c r="O326" s="37"/>
    </row>
    <row r="327" spans="1:16" ht="15.5">
      <c r="A327" s="9" t="s">
        <v>15</v>
      </c>
      <c r="B327" s="10"/>
      <c r="C327" s="10"/>
      <c r="D327" s="148"/>
      <c r="E327" s="148"/>
      <c r="F327" s="148"/>
      <c r="G327" s="152"/>
      <c r="H327" s="111"/>
      <c r="I327" s="44"/>
      <c r="J327" s="12"/>
      <c r="K327" s="13">
        <f>SUM(J215:J326)</f>
        <v>8341260.5549999997</v>
      </c>
      <c r="L327" s="10"/>
      <c r="M327" s="10"/>
      <c r="N327" s="10"/>
      <c r="O327" s="73"/>
      <c r="P327" s="321"/>
    </row>
    <row r="328" spans="1:16" s="97" customFormat="1" ht="15.5">
      <c r="A328" s="36" t="s">
        <v>718</v>
      </c>
      <c r="B328" s="36" t="s">
        <v>719</v>
      </c>
      <c r="C328" s="65" t="s">
        <v>133</v>
      </c>
      <c r="D328" s="283"/>
      <c r="E328" s="139"/>
      <c r="F328" s="137"/>
      <c r="G328" s="139"/>
      <c r="H328" s="67">
        <f>+Table_1[[#This Row],[Column7]]+Table_1[[#This Row],[Column6]]+Table_1[[#This Row],[Column5]]+Table_1[[#This Row],[Column4]]</f>
        <v>0</v>
      </c>
      <c r="I328" s="38">
        <v>485789.85</v>
      </c>
      <c r="J328" s="34">
        <f>+'PACC GENERAL 2026'!$H328*'PACC GENERAL 2026'!$I328</f>
        <v>0</v>
      </c>
      <c r="K328" s="35"/>
      <c r="L328" s="31"/>
      <c r="M328" s="31"/>
      <c r="N328" s="32"/>
      <c r="O328" s="32"/>
      <c r="P328" s="320"/>
    </row>
    <row r="329" spans="1:16" ht="15.5">
      <c r="A329" s="9" t="s">
        <v>718</v>
      </c>
      <c r="B329" s="10"/>
      <c r="C329" s="10"/>
      <c r="D329" s="148"/>
      <c r="E329" s="148"/>
      <c r="F329" s="148"/>
      <c r="G329" s="152"/>
      <c r="H329" s="111"/>
      <c r="I329" s="44"/>
      <c r="J329" s="12"/>
      <c r="K329" s="13">
        <f>SUM(J328)</f>
        <v>0</v>
      </c>
      <c r="L329" s="10"/>
      <c r="M329" s="10"/>
      <c r="N329" s="10"/>
      <c r="O329" s="73"/>
      <c r="P329" s="321"/>
    </row>
    <row r="330" spans="1:16" s="97" customFormat="1" ht="15.5">
      <c r="A330" s="31" t="s">
        <v>16</v>
      </c>
      <c r="B330" s="31" t="s">
        <v>530</v>
      </c>
      <c r="C330" s="32" t="s">
        <v>403</v>
      </c>
      <c r="D330" s="137"/>
      <c r="E330" s="133">
        <v>1</v>
      </c>
      <c r="F330" s="133"/>
      <c r="G330" s="133"/>
      <c r="H330" s="67">
        <f>+Table_1[[#This Row],[Column7]]+Table_1[[#This Row],[Column6]]+Table_1[[#This Row],[Column5]]+Table_1[[#This Row],[Column4]]</f>
        <v>1</v>
      </c>
      <c r="I330" s="38">
        <v>69000</v>
      </c>
      <c r="J330" s="34">
        <f>+'PACC GENERAL 2026'!$H330*'PACC GENERAL 2026'!$I330</f>
        <v>69000</v>
      </c>
      <c r="K330" s="35"/>
      <c r="L330" s="31"/>
      <c r="M330" s="31"/>
      <c r="N330" s="31"/>
      <c r="O330" s="32" t="s">
        <v>1001</v>
      </c>
    </row>
    <row r="331" spans="1:16" s="97" customFormat="1" ht="15.5">
      <c r="A331" s="31" t="s">
        <v>16</v>
      </c>
      <c r="B331" s="31" t="s">
        <v>1082</v>
      </c>
      <c r="C331" s="32" t="s">
        <v>133</v>
      </c>
      <c r="D331" s="137"/>
      <c r="E331" s="133">
        <v>25</v>
      </c>
      <c r="F331" s="133"/>
      <c r="G331" s="133"/>
      <c r="H331" s="67">
        <f>+Table_1[[#This Row],[Column7]]+Table_1[[#This Row],[Column6]]+Table_1[[#This Row],[Column5]]+Table_1[[#This Row],[Column4]]</f>
        <v>25</v>
      </c>
      <c r="I331" s="38">
        <v>949.15</v>
      </c>
      <c r="J331" s="34">
        <f>+'PACC GENERAL 2026'!$H331*'PACC GENERAL 2026'!$I331</f>
        <v>23728.75</v>
      </c>
      <c r="K331" s="35"/>
      <c r="L331" s="31"/>
      <c r="M331" s="31"/>
      <c r="N331" s="31"/>
      <c r="O331" s="32" t="s">
        <v>434</v>
      </c>
      <c r="P331" s="320"/>
    </row>
    <row r="332" spans="1:16" s="97" customFormat="1" ht="15.5">
      <c r="A332" s="31" t="s">
        <v>16</v>
      </c>
      <c r="B332" s="31" t="s">
        <v>1083</v>
      </c>
      <c r="C332" s="32" t="s">
        <v>133</v>
      </c>
      <c r="D332" s="137"/>
      <c r="E332" s="133">
        <v>25</v>
      </c>
      <c r="F332" s="133"/>
      <c r="G332" s="133"/>
      <c r="H332" s="67">
        <f>+Table_1[[#This Row],[Column7]]+Table_1[[#This Row],[Column6]]+Table_1[[#This Row],[Column5]]+Table_1[[#This Row],[Column4]]</f>
        <v>25</v>
      </c>
      <c r="I332" s="38">
        <v>677.97</v>
      </c>
      <c r="J332" s="34">
        <f>+'PACC GENERAL 2026'!$H332*'PACC GENERAL 2026'!$I332</f>
        <v>16949.25</v>
      </c>
      <c r="K332" s="35"/>
      <c r="L332" s="31"/>
      <c r="M332" s="31"/>
      <c r="N332" s="31"/>
      <c r="O332" s="32" t="s">
        <v>434</v>
      </c>
      <c r="P332" s="320"/>
    </row>
    <row r="333" spans="1:16" s="97" customFormat="1" ht="15.5">
      <c r="A333" s="31" t="s">
        <v>16</v>
      </c>
      <c r="B333" s="31" t="s">
        <v>1084</v>
      </c>
      <c r="C333" s="32" t="s">
        <v>133</v>
      </c>
      <c r="D333" s="137"/>
      <c r="E333" s="133">
        <v>25</v>
      </c>
      <c r="F333" s="133"/>
      <c r="G333" s="133"/>
      <c r="H333" s="67">
        <f>+Table_1[[#This Row],[Column7]]+Table_1[[#This Row],[Column6]]+Table_1[[#This Row],[Column5]]+Table_1[[#This Row],[Column4]]</f>
        <v>25</v>
      </c>
      <c r="I333" s="38">
        <v>1101.7</v>
      </c>
      <c r="J333" s="34">
        <f>+'PACC GENERAL 2026'!$H333*'PACC GENERAL 2026'!$I333</f>
        <v>27542.5</v>
      </c>
      <c r="K333" s="35"/>
      <c r="L333" s="31"/>
      <c r="M333" s="31"/>
      <c r="N333" s="31"/>
      <c r="O333" s="32" t="s">
        <v>434</v>
      </c>
      <c r="P333" s="320"/>
    </row>
    <row r="334" spans="1:16" s="97" customFormat="1" ht="15.5">
      <c r="A334" s="31" t="s">
        <v>16</v>
      </c>
      <c r="B334" s="31" t="s">
        <v>1085</v>
      </c>
      <c r="C334" s="32" t="s">
        <v>133</v>
      </c>
      <c r="D334" s="137"/>
      <c r="E334" s="133">
        <v>25</v>
      </c>
      <c r="F334" s="133"/>
      <c r="G334" s="133"/>
      <c r="H334" s="67">
        <f>+Table_1[[#This Row],[Column7]]+Table_1[[#This Row],[Column6]]+Table_1[[#This Row],[Column5]]+Table_1[[#This Row],[Column4]]</f>
        <v>25</v>
      </c>
      <c r="I334" s="38">
        <v>1542.37</v>
      </c>
      <c r="J334" s="34">
        <f>+'PACC GENERAL 2026'!$H334*'PACC GENERAL 2026'!$I334</f>
        <v>38559.25</v>
      </c>
      <c r="K334" s="35"/>
      <c r="L334" s="31"/>
      <c r="M334" s="31"/>
      <c r="N334" s="31"/>
      <c r="O334" s="32" t="s">
        <v>434</v>
      </c>
      <c r="P334" s="320"/>
    </row>
    <row r="335" spans="1:16" s="97" customFormat="1" ht="15.5">
      <c r="A335" s="31" t="s">
        <v>16</v>
      </c>
      <c r="B335" s="31" t="s">
        <v>1086</v>
      </c>
      <c r="C335" s="32" t="s">
        <v>133</v>
      </c>
      <c r="D335" s="137"/>
      <c r="E335" s="133">
        <v>25</v>
      </c>
      <c r="F335" s="133"/>
      <c r="G335" s="133"/>
      <c r="H335" s="67">
        <f>+Table_1[[#This Row],[Column7]]+Table_1[[#This Row],[Column6]]+Table_1[[#This Row],[Column5]]+Table_1[[#This Row],[Column4]]</f>
        <v>25</v>
      </c>
      <c r="I335" s="38">
        <v>1322.03</v>
      </c>
      <c r="J335" s="34">
        <f>+'PACC GENERAL 2026'!$H335*'PACC GENERAL 2026'!$I335</f>
        <v>33050.75</v>
      </c>
      <c r="K335" s="35"/>
      <c r="L335" s="31"/>
      <c r="M335" s="31"/>
      <c r="N335" s="31"/>
      <c r="O335" s="32" t="s">
        <v>434</v>
      </c>
      <c r="P335" s="320"/>
    </row>
    <row r="336" spans="1:16" s="97" customFormat="1" ht="15.5">
      <c r="A336" s="31" t="s">
        <v>16</v>
      </c>
      <c r="B336" s="31" t="s">
        <v>1087</v>
      </c>
      <c r="C336" s="32" t="s">
        <v>133</v>
      </c>
      <c r="D336" s="137"/>
      <c r="E336" s="133">
        <v>25</v>
      </c>
      <c r="F336" s="133"/>
      <c r="G336" s="133"/>
      <c r="H336" s="67">
        <f>+Table_1[[#This Row],[Column7]]+Table_1[[#This Row],[Column6]]+Table_1[[#This Row],[Column5]]+Table_1[[#This Row],[Column4]]</f>
        <v>25</v>
      </c>
      <c r="I336" s="38">
        <v>1016.95</v>
      </c>
      <c r="J336" s="34">
        <f>+'PACC GENERAL 2026'!$H336*'PACC GENERAL 2026'!$I336</f>
        <v>25423.75</v>
      </c>
      <c r="K336" s="35"/>
      <c r="L336" s="31"/>
      <c r="M336" s="31"/>
      <c r="N336" s="31"/>
      <c r="O336" s="32" t="s">
        <v>434</v>
      </c>
      <c r="P336" s="320"/>
    </row>
    <row r="337" spans="1:16" s="97" customFormat="1" ht="15.5">
      <c r="A337" s="31" t="s">
        <v>16</v>
      </c>
      <c r="B337" s="31" t="s">
        <v>1088</v>
      </c>
      <c r="C337" s="32" t="s">
        <v>133</v>
      </c>
      <c r="D337" s="137"/>
      <c r="E337" s="133">
        <v>25</v>
      </c>
      <c r="F337" s="133"/>
      <c r="G337" s="133"/>
      <c r="H337" s="67">
        <f>+Table_1[[#This Row],[Column7]]+Table_1[[#This Row],[Column6]]+Table_1[[#This Row],[Column5]]+Table_1[[#This Row],[Column4]]</f>
        <v>25</v>
      </c>
      <c r="I337" s="38">
        <v>1423.73</v>
      </c>
      <c r="J337" s="34">
        <f>+'PACC GENERAL 2026'!$H337*'PACC GENERAL 2026'!$I337</f>
        <v>35593.25</v>
      </c>
      <c r="K337" s="35"/>
      <c r="L337" s="31"/>
      <c r="M337" s="31"/>
      <c r="N337" s="31"/>
      <c r="O337" s="32" t="s">
        <v>434</v>
      </c>
      <c r="P337" s="320"/>
    </row>
    <row r="338" spans="1:16" s="97" customFormat="1" ht="15.5">
      <c r="A338" s="31" t="s">
        <v>16</v>
      </c>
      <c r="B338" s="31" t="s">
        <v>1089</v>
      </c>
      <c r="C338" s="32" t="s">
        <v>133</v>
      </c>
      <c r="D338" s="137"/>
      <c r="E338" s="133">
        <v>25</v>
      </c>
      <c r="F338" s="133"/>
      <c r="G338" s="133"/>
      <c r="H338" s="67">
        <f>+Table_1[[#This Row],[Column7]]+Table_1[[#This Row],[Column6]]+Table_1[[#This Row],[Column5]]+Table_1[[#This Row],[Column4]]</f>
        <v>25</v>
      </c>
      <c r="I338" s="38">
        <v>398.31</v>
      </c>
      <c r="J338" s="34">
        <f>+'PACC GENERAL 2026'!$H338*'PACC GENERAL 2026'!$I338</f>
        <v>9957.75</v>
      </c>
      <c r="K338" s="35"/>
      <c r="L338" s="31"/>
      <c r="M338" s="31"/>
      <c r="N338" s="31"/>
      <c r="O338" s="32" t="s">
        <v>434</v>
      </c>
      <c r="P338" s="320"/>
    </row>
    <row r="339" spans="1:16" s="97" customFormat="1" ht="15.5">
      <c r="A339" s="31" t="s">
        <v>16</v>
      </c>
      <c r="B339" s="31" t="s">
        <v>1090</v>
      </c>
      <c r="C339" s="32" t="s">
        <v>133</v>
      </c>
      <c r="D339" s="137"/>
      <c r="E339" s="133">
        <v>25</v>
      </c>
      <c r="F339" s="133"/>
      <c r="G339" s="133"/>
      <c r="H339" s="67">
        <f>+Table_1[[#This Row],[Column7]]+Table_1[[#This Row],[Column6]]+Table_1[[#This Row],[Column5]]+Table_1[[#This Row],[Column4]]</f>
        <v>25</v>
      </c>
      <c r="I339" s="38">
        <v>423.73</v>
      </c>
      <c r="J339" s="34">
        <f>+'PACC GENERAL 2026'!$H339*'PACC GENERAL 2026'!$I339</f>
        <v>10593.25</v>
      </c>
      <c r="K339" s="35"/>
      <c r="L339" s="31"/>
      <c r="M339" s="31"/>
      <c r="N339" s="31"/>
      <c r="O339" s="32" t="s">
        <v>434</v>
      </c>
      <c r="P339" s="320"/>
    </row>
    <row r="340" spans="1:16" s="97" customFormat="1" ht="15.5">
      <c r="A340" s="31" t="s">
        <v>16</v>
      </c>
      <c r="B340" s="31" t="s">
        <v>1093</v>
      </c>
      <c r="C340" s="32" t="s">
        <v>94</v>
      </c>
      <c r="D340" s="137"/>
      <c r="E340" s="133">
        <v>50</v>
      </c>
      <c r="F340" s="133"/>
      <c r="G340" s="133"/>
      <c r="H340" s="67">
        <f>+Table_1[[#This Row],[Column7]]+Table_1[[#This Row],[Column6]]+Table_1[[#This Row],[Column5]]+Table_1[[#This Row],[Column4]]</f>
        <v>50</v>
      </c>
      <c r="I340" s="38">
        <v>100</v>
      </c>
      <c r="J340" s="34">
        <f>+'PACC GENERAL 2026'!$H340*'PACC GENERAL 2026'!$I340</f>
        <v>5000</v>
      </c>
      <c r="K340" s="35"/>
      <c r="L340" s="31"/>
      <c r="M340" s="31"/>
      <c r="N340" s="31"/>
      <c r="O340" s="32" t="s">
        <v>434</v>
      </c>
      <c r="P340" s="320"/>
    </row>
    <row r="341" spans="1:16" s="97" customFormat="1" ht="15.5">
      <c r="A341" s="31" t="s">
        <v>16</v>
      </c>
      <c r="B341" s="31" t="s">
        <v>1095</v>
      </c>
      <c r="C341" s="32" t="s">
        <v>94</v>
      </c>
      <c r="D341" s="137"/>
      <c r="E341" s="133">
        <v>50</v>
      </c>
      <c r="F341" s="133"/>
      <c r="G341" s="133"/>
      <c r="H341" s="67">
        <f>+Table_1[[#This Row],[Column7]]+Table_1[[#This Row],[Column6]]+Table_1[[#This Row],[Column5]]+Table_1[[#This Row],[Column4]]</f>
        <v>50</v>
      </c>
      <c r="I341" s="38">
        <v>184</v>
      </c>
      <c r="J341" s="34">
        <f>+'PACC GENERAL 2026'!$H341*'PACC GENERAL 2026'!$I341</f>
        <v>9200</v>
      </c>
      <c r="K341" s="35"/>
      <c r="L341" s="31"/>
      <c r="M341" s="31"/>
      <c r="N341" s="31"/>
      <c r="O341" s="32" t="s">
        <v>434</v>
      </c>
      <c r="P341" s="320"/>
    </row>
    <row r="342" spans="1:16" s="97" customFormat="1" ht="15.5">
      <c r="A342" s="31" t="s">
        <v>16</v>
      </c>
      <c r="B342" s="31" t="s">
        <v>1096</v>
      </c>
      <c r="C342" s="32" t="s">
        <v>133</v>
      </c>
      <c r="D342" s="137"/>
      <c r="E342" s="133">
        <v>25</v>
      </c>
      <c r="F342" s="133"/>
      <c r="G342" s="133"/>
      <c r="H342" s="67">
        <f>+Table_1[[#This Row],[Column7]]+Table_1[[#This Row],[Column6]]+Table_1[[#This Row],[Column5]]+Table_1[[#This Row],[Column4]]</f>
        <v>25</v>
      </c>
      <c r="I342" s="38">
        <v>75</v>
      </c>
      <c r="J342" s="34">
        <f>+'PACC GENERAL 2026'!$H342*'PACC GENERAL 2026'!$I342</f>
        <v>1875</v>
      </c>
      <c r="K342" s="35"/>
      <c r="L342" s="31"/>
      <c r="M342" s="31"/>
      <c r="N342" s="31"/>
      <c r="O342" s="32" t="s">
        <v>434</v>
      </c>
      <c r="P342" s="320"/>
    </row>
    <row r="343" spans="1:16" s="97" customFormat="1" ht="15.5">
      <c r="A343" s="31" t="s">
        <v>16</v>
      </c>
      <c r="B343" s="31" t="s">
        <v>1097</v>
      </c>
      <c r="C343" s="32" t="s">
        <v>133</v>
      </c>
      <c r="D343" s="137"/>
      <c r="E343" s="133">
        <v>25</v>
      </c>
      <c r="F343" s="133"/>
      <c r="G343" s="133"/>
      <c r="H343" s="67">
        <f>+Table_1[[#This Row],[Column7]]+Table_1[[#This Row],[Column6]]+Table_1[[#This Row],[Column5]]+Table_1[[#This Row],[Column4]]</f>
        <v>25</v>
      </c>
      <c r="I343" s="38">
        <v>60</v>
      </c>
      <c r="J343" s="34">
        <f>+'PACC GENERAL 2026'!$H343*'PACC GENERAL 2026'!$I343</f>
        <v>1500</v>
      </c>
      <c r="K343" s="35"/>
      <c r="L343" s="31"/>
      <c r="M343" s="31"/>
      <c r="N343" s="31"/>
      <c r="O343" s="32" t="s">
        <v>434</v>
      </c>
      <c r="P343" s="320"/>
    </row>
    <row r="344" spans="1:16" s="97" customFormat="1" ht="15.5">
      <c r="A344" s="31" t="s">
        <v>16</v>
      </c>
      <c r="B344" s="31" t="s">
        <v>1098</v>
      </c>
      <c r="C344" s="32" t="s">
        <v>133</v>
      </c>
      <c r="D344" s="137"/>
      <c r="E344" s="133">
        <v>25</v>
      </c>
      <c r="F344" s="133"/>
      <c r="G344" s="133"/>
      <c r="H344" s="67">
        <f>+Table_1[[#This Row],[Column7]]+Table_1[[#This Row],[Column6]]+Table_1[[#This Row],[Column5]]+Table_1[[#This Row],[Column4]]</f>
        <v>25</v>
      </c>
      <c r="I344" s="38">
        <v>230</v>
      </c>
      <c r="J344" s="34">
        <f>+'PACC GENERAL 2026'!$H344*'PACC GENERAL 2026'!$I344</f>
        <v>5750</v>
      </c>
      <c r="K344" s="35"/>
      <c r="L344" s="31"/>
      <c r="M344" s="31"/>
      <c r="N344" s="31"/>
      <c r="O344" s="32" t="s">
        <v>434</v>
      </c>
      <c r="P344" s="320"/>
    </row>
    <row r="345" spans="1:16" s="97" customFormat="1" ht="15.5">
      <c r="A345" s="31" t="s">
        <v>16</v>
      </c>
      <c r="B345" s="31" t="s">
        <v>1099</v>
      </c>
      <c r="C345" s="32" t="s">
        <v>133</v>
      </c>
      <c r="D345" s="137"/>
      <c r="E345" s="133">
        <v>25</v>
      </c>
      <c r="F345" s="133"/>
      <c r="G345" s="133"/>
      <c r="H345" s="67">
        <f>+Table_1[[#This Row],[Column7]]+Table_1[[#This Row],[Column6]]+Table_1[[#This Row],[Column5]]+Table_1[[#This Row],[Column4]]</f>
        <v>25</v>
      </c>
      <c r="I345" s="38">
        <v>175</v>
      </c>
      <c r="J345" s="34">
        <f>+'PACC GENERAL 2026'!$H345*'PACC GENERAL 2026'!$I345</f>
        <v>4375</v>
      </c>
      <c r="K345" s="35"/>
      <c r="L345" s="31"/>
      <c r="M345" s="31"/>
      <c r="N345" s="31"/>
      <c r="O345" s="32" t="s">
        <v>434</v>
      </c>
      <c r="P345" s="320"/>
    </row>
    <row r="346" spans="1:16" s="97" customFormat="1" ht="15.5">
      <c r="A346" s="31" t="s">
        <v>16</v>
      </c>
      <c r="B346" s="31" t="s">
        <v>1100</v>
      </c>
      <c r="C346" s="32" t="s">
        <v>133</v>
      </c>
      <c r="D346" s="137"/>
      <c r="E346" s="133">
        <v>10</v>
      </c>
      <c r="F346" s="133"/>
      <c r="G346" s="133"/>
      <c r="H346" s="67">
        <f>+Table_1[[#This Row],[Column7]]+Table_1[[#This Row],[Column6]]+Table_1[[#This Row],[Column5]]+Table_1[[#This Row],[Column4]]</f>
        <v>10</v>
      </c>
      <c r="I346" s="38">
        <v>559.32000000000005</v>
      </c>
      <c r="J346" s="34">
        <f>+'PACC GENERAL 2026'!$H346*'PACC GENERAL 2026'!$I346</f>
        <v>5593.2000000000007</v>
      </c>
      <c r="K346" s="35"/>
      <c r="L346" s="31"/>
      <c r="M346" s="31"/>
      <c r="N346" s="31"/>
      <c r="O346" s="32" t="s">
        <v>434</v>
      </c>
      <c r="P346" s="320"/>
    </row>
    <row r="347" spans="1:16" s="97" customFormat="1" ht="15.5">
      <c r="A347" s="31" t="s">
        <v>16</v>
      </c>
      <c r="B347" s="31" t="s">
        <v>728</v>
      </c>
      <c r="C347" s="32" t="s">
        <v>133</v>
      </c>
      <c r="D347" s="137"/>
      <c r="E347" s="133">
        <v>50</v>
      </c>
      <c r="F347" s="133"/>
      <c r="G347" s="133"/>
      <c r="H347" s="67">
        <f>+Table_1[[#This Row],[Column7]]+Table_1[[#This Row],[Column6]]+Table_1[[#This Row],[Column5]]+Table_1[[#This Row],[Column4]]</f>
        <v>50</v>
      </c>
      <c r="I347" s="38">
        <v>1700</v>
      </c>
      <c r="J347" s="34">
        <f>+'PACC GENERAL 2026'!$H347*'PACC GENERAL 2026'!$I347</f>
        <v>85000</v>
      </c>
      <c r="K347" s="35"/>
      <c r="L347" s="31"/>
      <c r="M347" s="31"/>
      <c r="N347" s="31"/>
      <c r="O347" s="37" t="s">
        <v>1224</v>
      </c>
      <c r="P347" s="320"/>
    </row>
    <row r="348" spans="1:16" s="97" customFormat="1" ht="15.5">
      <c r="A348" s="31" t="s">
        <v>16</v>
      </c>
      <c r="B348" s="31" t="s">
        <v>1246</v>
      </c>
      <c r="C348" s="32" t="s">
        <v>133</v>
      </c>
      <c r="D348" s="137"/>
      <c r="E348" s="133">
        <v>200</v>
      </c>
      <c r="F348" s="133"/>
      <c r="G348" s="133"/>
      <c r="H348" s="67">
        <f>+Table_1[[#This Row],[Column7]]+Table_1[[#This Row],[Column6]]+Table_1[[#This Row],[Column5]]+Table_1[[#This Row],[Column4]]</f>
        <v>200</v>
      </c>
      <c r="I348" s="38">
        <v>250</v>
      </c>
      <c r="J348" s="34">
        <f>+'PACC GENERAL 2026'!$H348*'PACC GENERAL 2026'!$I348</f>
        <v>50000</v>
      </c>
      <c r="K348" s="35"/>
      <c r="L348" s="31"/>
      <c r="M348" s="31"/>
      <c r="N348" s="31"/>
      <c r="O348" s="37" t="s">
        <v>1224</v>
      </c>
      <c r="P348" s="320"/>
    </row>
    <row r="349" spans="1:16" s="287" customFormat="1" ht="15.5">
      <c r="A349" s="36" t="s">
        <v>16</v>
      </c>
      <c r="B349" s="36" t="s">
        <v>1092</v>
      </c>
      <c r="C349" s="37" t="s">
        <v>133</v>
      </c>
      <c r="D349" s="213"/>
      <c r="E349" s="138">
        <v>50</v>
      </c>
      <c r="F349" s="138"/>
      <c r="G349" s="138"/>
      <c r="H349" s="110">
        <f>+Table_1[[#This Row],[Column7]]+Table_1[[#This Row],[Column6]]+Table_1[[#This Row],[Column5]]+Table_1[[#This Row],[Column4]]</f>
        <v>50</v>
      </c>
      <c r="I349" s="38">
        <v>125</v>
      </c>
      <c r="J349" s="39">
        <f>+'PACC GENERAL 2026'!$H349*'PACC GENERAL 2026'!$I349</f>
        <v>6250</v>
      </c>
      <c r="K349" s="40"/>
      <c r="L349" s="36"/>
      <c r="M349" s="36"/>
      <c r="N349" s="36"/>
      <c r="O349" s="37" t="s">
        <v>434</v>
      </c>
      <c r="P349" s="323"/>
    </row>
    <row r="350" spans="1:16" s="97" customFormat="1" ht="15.5">
      <c r="A350" s="31" t="s">
        <v>16</v>
      </c>
      <c r="B350" s="31" t="s">
        <v>1247</v>
      </c>
      <c r="C350" s="32" t="s">
        <v>94</v>
      </c>
      <c r="D350" s="137"/>
      <c r="E350" s="133">
        <v>30</v>
      </c>
      <c r="F350" s="133"/>
      <c r="G350" s="133"/>
      <c r="H350" s="67">
        <f>+Table_1[[#This Row],[Column7]]+Table_1[[#This Row],[Column6]]+Table_1[[#This Row],[Column5]]+Table_1[[#This Row],[Column4]]</f>
        <v>30</v>
      </c>
      <c r="I350" s="38">
        <v>15500</v>
      </c>
      <c r="J350" s="34">
        <f>+'PACC GENERAL 2026'!$H350*'PACC GENERAL 2026'!$I350</f>
        <v>465000</v>
      </c>
      <c r="K350" s="35"/>
      <c r="L350" s="31"/>
      <c r="M350" s="31"/>
      <c r="N350" s="31"/>
      <c r="O350" s="37" t="s">
        <v>1224</v>
      </c>
      <c r="P350" s="320"/>
    </row>
    <row r="351" spans="1:16" s="97" customFormat="1" ht="15.5">
      <c r="A351" s="31" t="s">
        <v>16</v>
      </c>
      <c r="B351" s="31" t="s">
        <v>1248</v>
      </c>
      <c r="C351" s="32" t="s">
        <v>133</v>
      </c>
      <c r="D351" s="137"/>
      <c r="E351" s="133">
        <v>30</v>
      </c>
      <c r="F351" s="133"/>
      <c r="G351" s="133"/>
      <c r="H351" s="67">
        <f>+Table_1[[#This Row],[Column7]]+Table_1[[#This Row],[Column6]]+Table_1[[#This Row],[Column5]]+Table_1[[#This Row],[Column4]]</f>
        <v>30</v>
      </c>
      <c r="I351" s="38">
        <v>30000</v>
      </c>
      <c r="J351" s="34">
        <f>+'PACC GENERAL 2026'!$H351*'PACC GENERAL 2026'!$I351</f>
        <v>900000</v>
      </c>
      <c r="K351" s="35"/>
      <c r="L351" s="31"/>
      <c r="M351" s="31"/>
      <c r="N351" s="31"/>
      <c r="O351" s="37" t="s">
        <v>1224</v>
      </c>
      <c r="P351" s="320"/>
    </row>
    <row r="352" spans="1:16" s="97" customFormat="1" ht="15.5">
      <c r="A352" s="31" t="s">
        <v>16</v>
      </c>
      <c r="B352" s="31" t="s">
        <v>1249</v>
      </c>
      <c r="C352" s="32" t="s">
        <v>133</v>
      </c>
      <c r="D352" s="137"/>
      <c r="E352" s="133">
        <v>20</v>
      </c>
      <c r="F352" s="133"/>
      <c r="G352" s="133"/>
      <c r="H352" s="67">
        <f>+Table_1[[#This Row],[Column7]]+Table_1[[#This Row],[Column6]]+Table_1[[#This Row],[Column5]]+Table_1[[#This Row],[Column4]]</f>
        <v>20</v>
      </c>
      <c r="I352" s="38">
        <v>27700</v>
      </c>
      <c r="J352" s="34">
        <f>+'PACC GENERAL 2026'!$H352*'PACC GENERAL 2026'!$I352</f>
        <v>554000</v>
      </c>
      <c r="K352" s="35"/>
      <c r="L352" s="31"/>
      <c r="M352" s="31"/>
      <c r="N352" s="31"/>
      <c r="O352" s="37" t="s">
        <v>1224</v>
      </c>
      <c r="P352" s="320"/>
    </row>
    <row r="353" spans="1:16" s="97" customFormat="1" ht="15.5">
      <c r="A353" s="31" t="s">
        <v>16</v>
      </c>
      <c r="B353" s="31" t="s">
        <v>1250</v>
      </c>
      <c r="C353" s="32" t="s">
        <v>94</v>
      </c>
      <c r="D353" s="137"/>
      <c r="E353" s="133">
        <v>10</v>
      </c>
      <c r="F353" s="133"/>
      <c r="G353" s="133"/>
      <c r="H353" s="67">
        <f>+Table_1[[#This Row],[Column7]]+Table_1[[#This Row],[Column6]]+Table_1[[#This Row],[Column5]]+Table_1[[#This Row],[Column4]]</f>
        <v>10</v>
      </c>
      <c r="I353" s="38">
        <v>13683</v>
      </c>
      <c r="J353" s="34">
        <f>+'PACC GENERAL 2026'!$H353*'PACC GENERAL 2026'!$I353</f>
        <v>136830</v>
      </c>
      <c r="K353" s="35"/>
      <c r="L353" s="31"/>
      <c r="M353" s="31"/>
      <c r="N353" s="31"/>
      <c r="O353" s="37" t="s">
        <v>1224</v>
      </c>
      <c r="P353" s="320"/>
    </row>
    <row r="354" spans="1:16" s="97" customFormat="1" ht="15.5">
      <c r="A354" s="31" t="s">
        <v>16</v>
      </c>
      <c r="B354" s="31" t="s">
        <v>1251</v>
      </c>
      <c r="C354" s="32" t="s">
        <v>94</v>
      </c>
      <c r="D354" s="137"/>
      <c r="E354" s="133">
        <v>10</v>
      </c>
      <c r="F354" s="133"/>
      <c r="G354" s="133"/>
      <c r="H354" s="67">
        <f>+Table_1[[#This Row],[Column7]]+Table_1[[#This Row],[Column6]]+Table_1[[#This Row],[Column5]]+Table_1[[#This Row],[Column4]]</f>
        <v>10</v>
      </c>
      <c r="I354" s="38">
        <v>18900</v>
      </c>
      <c r="J354" s="34">
        <f>+'PACC GENERAL 2026'!$H354*'PACC GENERAL 2026'!$I354</f>
        <v>189000</v>
      </c>
      <c r="K354" s="35"/>
      <c r="L354" s="31"/>
      <c r="M354" s="31"/>
      <c r="N354" s="31"/>
      <c r="O354" s="37" t="s">
        <v>1224</v>
      </c>
      <c r="P354" s="320"/>
    </row>
    <row r="355" spans="1:16" ht="15.5">
      <c r="A355" s="9" t="s">
        <v>16</v>
      </c>
      <c r="B355" s="10"/>
      <c r="C355" s="10"/>
      <c r="D355" s="148"/>
      <c r="E355" s="148"/>
      <c r="F355" s="148"/>
      <c r="G355" s="152"/>
      <c r="H355" s="111"/>
      <c r="I355" s="44"/>
      <c r="J355" s="12"/>
      <c r="K355" s="13">
        <f>SUM(J330:J354)</f>
        <v>2709771.7</v>
      </c>
      <c r="L355" s="10"/>
      <c r="M355" s="10"/>
      <c r="N355" s="10"/>
      <c r="O355" s="73"/>
    </row>
    <row r="356" spans="1:16" s="287" customFormat="1" ht="22" customHeight="1">
      <c r="A356" s="36" t="s">
        <v>396</v>
      </c>
      <c r="B356" s="36" t="s">
        <v>408</v>
      </c>
      <c r="C356" s="161" t="s">
        <v>97</v>
      </c>
      <c r="D356" s="315">
        <f>18800+100</f>
        <v>18900</v>
      </c>
      <c r="E356" s="213"/>
      <c r="F356" s="165"/>
      <c r="G356" s="165"/>
      <c r="H356" s="67">
        <f>+Table_1[[#This Row],[Column7]]+Table_1[[#This Row],[Column6]]+Table_1[[#This Row],[Column5]]+Table_1[[#This Row],[Column4]]</f>
        <v>18900</v>
      </c>
      <c r="I356" s="38">
        <v>23.1</v>
      </c>
      <c r="J356" s="39">
        <f>+'PACC GENERAL 2026'!$H356*'PACC GENERAL 2026'!$I356</f>
        <v>436590</v>
      </c>
      <c r="K356" s="40"/>
      <c r="L356" s="36"/>
      <c r="M356" s="36"/>
      <c r="N356" s="37"/>
      <c r="O356" s="37" t="s">
        <v>1686</v>
      </c>
    </row>
    <row r="357" spans="1:16" s="97" customFormat="1" ht="31">
      <c r="A357" s="31" t="s">
        <v>396</v>
      </c>
      <c r="B357" s="36" t="s">
        <v>1688</v>
      </c>
      <c r="C357" s="32" t="s">
        <v>94</v>
      </c>
      <c r="D357" s="133">
        <f>100+10</f>
        <v>110</v>
      </c>
      <c r="E357" s="403"/>
      <c r="F357" s="138">
        <v>150</v>
      </c>
      <c r="G357" s="133"/>
      <c r="H357" s="67">
        <f>+Table_1[[#This Row],[Column7]]+Table_1[[#This Row],[Column6]]+Table_1[[#This Row],[Column5]]+Table_1[[#This Row],[Column4]]</f>
        <v>260</v>
      </c>
      <c r="I357" s="38">
        <v>515</v>
      </c>
      <c r="J357" s="34">
        <f>+'PACC GENERAL 2026'!$H357*'PACC GENERAL 2026'!$I357</f>
        <v>133900</v>
      </c>
      <c r="K357" s="35"/>
      <c r="L357" s="31"/>
      <c r="M357" s="31"/>
      <c r="N357" s="32"/>
      <c r="O357" s="32" t="s">
        <v>1439</v>
      </c>
    </row>
    <row r="358" spans="1:16" s="287" customFormat="1" ht="22" customHeight="1">
      <c r="A358" s="36" t="s">
        <v>396</v>
      </c>
      <c r="B358" s="105" t="s">
        <v>1687</v>
      </c>
      <c r="C358" s="32" t="s">
        <v>94</v>
      </c>
      <c r="D358" s="133">
        <v>10</v>
      </c>
      <c r="E358" s="213"/>
      <c r="F358" s="329"/>
      <c r="G358" s="329"/>
      <c r="H358" s="67">
        <f>+Table_1[[#This Row],[Column7]]+Table_1[[#This Row],[Column6]]+Table_1[[#This Row],[Column5]]+Table_1[[#This Row],[Column4]]</f>
        <v>10</v>
      </c>
      <c r="I358" s="241">
        <v>250</v>
      </c>
      <c r="J358" s="39">
        <f>+'PACC GENERAL 2026'!$H358*'PACC GENERAL 2026'!$I358</f>
        <v>2500</v>
      </c>
      <c r="K358" s="40"/>
      <c r="L358" s="36"/>
      <c r="M358" s="36"/>
      <c r="N358" s="36"/>
      <c r="O358" s="37" t="s">
        <v>434</v>
      </c>
      <c r="P358" s="323"/>
    </row>
    <row r="359" spans="1:16" s="97" customFormat="1" ht="15.5">
      <c r="A359" s="31" t="s">
        <v>396</v>
      </c>
      <c r="B359" s="36" t="s">
        <v>397</v>
      </c>
      <c r="C359" s="32" t="s">
        <v>398</v>
      </c>
      <c r="D359" s="133"/>
      <c r="E359" s="133"/>
      <c r="F359" s="151"/>
      <c r="G359" s="133"/>
      <c r="H359" s="67">
        <f>+Table_1[[#This Row],[Column7]]+Table_1[[#This Row],[Column6]]+Table_1[[#This Row],[Column5]]+Table_1[[#This Row],[Column4]]</f>
        <v>0</v>
      </c>
      <c r="I359" s="162">
        <v>174</v>
      </c>
      <c r="J359" s="34">
        <f>'PACC GENERAL 2026'!$I359*'PACC GENERAL 2026'!$H359</f>
        <v>0</v>
      </c>
      <c r="K359" s="35"/>
      <c r="L359" s="31"/>
      <c r="M359" s="31"/>
      <c r="N359" s="32"/>
      <c r="O359" s="32"/>
    </row>
    <row r="360" spans="1:16" ht="15.5">
      <c r="A360" s="9" t="s">
        <v>396</v>
      </c>
      <c r="B360" s="10"/>
      <c r="C360" s="10"/>
      <c r="D360" s="148"/>
      <c r="E360" s="148"/>
      <c r="F360" s="148"/>
      <c r="G360" s="152"/>
      <c r="H360" s="111"/>
      <c r="I360" s="44"/>
      <c r="J360" s="12"/>
      <c r="K360" s="13">
        <f>SUM(J356:J359)</f>
        <v>572990</v>
      </c>
      <c r="L360" s="10"/>
      <c r="M360" s="10"/>
      <c r="N360" s="10"/>
      <c r="O360" s="73"/>
    </row>
    <row r="361" spans="1:16" s="418" customFormat="1" ht="15.5">
      <c r="A361" s="126" t="s">
        <v>1669</v>
      </c>
      <c r="B361" s="126" t="s">
        <v>1094</v>
      </c>
      <c r="C361" s="420" t="s">
        <v>94</v>
      </c>
      <c r="D361" s="416"/>
      <c r="E361" s="421">
        <v>50</v>
      </c>
      <c r="F361" s="421"/>
      <c r="G361" s="421"/>
      <c r="H361" s="410">
        <f>+Table_1[[#This Row],[Column7]]+Table_1[[#This Row],[Column6]]+Table_1[[#This Row],[Column5]]+Table_1[[#This Row],[Column4]]</f>
        <v>50</v>
      </c>
      <c r="I361" s="274">
        <v>780</v>
      </c>
      <c r="J361" s="422">
        <f>+'PACC GENERAL 2026'!$H361*'PACC GENERAL 2026'!$I361</f>
        <v>39000</v>
      </c>
      <c r="K361" s="423"/>
      <c r="L361" s="126"/>
      <c r="M361" s="126"/>
      <c r="N361" s="126"/>
      <c r="O361" s="420" t="s">
        <v>434</v>
      </c>
      <c r="P361" s="417"/>
    </row>
    <row r="362" spans="1:16" s="405" customFormat="1" ht="15.5">
      <c r="A362" s="9" t="s">
        <v>1669</v>
      </c>
      <c r="B362" s="10"/>
      <c r="C362" s="10"/>
      <c r="D362" s="148"/>
      <c r="E362" s="148"/>
      <c r="F362" s="148"/>
      <c r="G362" s="152"/>
      <c r="H362" s="111"/>
      <c r="I362" s="44"/>
      <c r="J362" s="12"/>
      <c r="K362" s="13">
        <f>SUM(J361)</f>
        <v>39000</v>
      </c>
      <c r="L362" s="10"/>
      <c r="M362" s="10"/>
      <c r="N362" s="10"/>
      <c r="O362" s="73"/>
    </row>
    <row r="363" spans="1:16" s="31" customFormat="1" ht="15.5">
      <c r="A363" s="31" t="s">
        <v>1663</v>
      </c>
      <c r="B363" s="48" t="s">
        <v>709</v>
      </c>
      <c r="C363" s="32" t="s">
        <v>94</v>
      </c>
      <c r="D363" s="153"/>
      <c r="E363" s="153">
        <v>75</v>
      </c>
      <c r="F363" s="153"/>
      <c r="G363" s="153"/>
      <c r="H363" s="67">
        <f>+Table_1[[#This Row],[Column7]]+Table_1[[#This Row],[Column6]]+Table_1[[#This Row],[Column5]]+Table_1[[#This Row],[Column4]]</f>
        <v>75</v>
      </c>
      <c r="I363" s="38">
        <v>2500</v>
      </c>
      <c r="J363" s="34">
        <f>'PACC GENERAL 2026'!$I363*'PACC GENERAL 2026'!$H363</f>
        <v>187500</v>
      </c>
      <c r="O363" s="32" t="s">
        <v>434</v>
      </c>
    </row>
    <row r="364" spans="1:16" ht="15.5">
      <c r="A364" s="9" t="s">
        <v>1663</v>
      </c>
      <c r="B364" s="10"/>
      <c r="C364" s="10"/>
      <c r="D364" s="152"/>
      <c r="E364" s="152"/>
      <c r="F364" s="152"/>
      <c r="G364" s="152"/>
      <c r="H364" s="111"/>
      <c r="I364" s="44"/>
      <c r="J364" s="12"/>
      <c r="K364" s="13">
        <f>SUM(J363)</f>
        <v>187500</v>
      </c>
      <c r="L364" s="10"/>
      <c r="M364" s="10"/>
      <c r="N364" s="10"/>
      <c r="O364" s="73"/>
    </row>
    <row r="365" spans="1:16" s="97" customFormat="1" ht="15.5">
      <c r="A365" s="31" t="s">
        <v>1125</v>
      </c>
      <c r="B365" s="175" t="s">
        <v>1126</v>
      </c>
      <c r="C365" s="32" t="s">
        <v>94</v>
      </c>
      <c r="D365" s="182"/>
      <c r="E365" s="137">
        <v>5</v>
      </c>
      <c r="F365" s="184"/>
      <c r="G365" s="182"/>
      <c r="H365" s="67">
        <f>+Table_1[[#This Row],[Column7]]+Table_1[[#This Row],[Column6]]+Table_1[[#This Row],[Column5]]+Table_1[[#This Row],[Column4]]</f>
        <v>5</v>
      </c>
      <c r="I365" s="177">
        <v>7000</v>
      </c>
      <c r="J365" s="34">
        <f>'PACC GENERAL 2026'!$I365*'PACC GENERAL 2026'!$H365</f>
        <v>35000</v>
      </c>
      <c r="K365" s="35"/>
      <c r="L365" s="31"/>
      <c r="M365" s="31"/>
      <c r="N365" s="32"/>
      <c r="O365" s="96" t="s">
        <v>434</v>
      </c>
      <c r="P365" s="320"/>
    </row>
    <row r="366" spans="1:16" ht="15.5">
      <c r="A366" s="9" t="s">
        <v>1125</v>
      </c>
      <c r="B366" s="10"/>
      <c r="C366" s="10"/>
      <c r="D366" s="148"/>
      <c r="E366" s="148"/>
      <c r="F366" s="148"/>
      <c r="G366" s="152"/>
      <c r="H366" s="111"/>
      <c r="I366" s="44"/>
      <c r="J366" s="12"/>
      <c r="K366" s="13">
        <f>SUM(J365)</f>
        <v>35000</v>
      </c>
      <c r="L366" s="10"/>
      <c r="M366" s="10"/>
      <c r="N366" s="10"/>
      <c r="O366" s="73"/>
    </row>
    <row r="367" spans="1:16" s="97" customFormat="1" ht="15.5">
      <c r="A367" s="31" t="s">
        <v>760</v>
      </c>
      <c r="B367" s="36" t="s">
        <v>888</v>
      </c>
      <c r="C367" s="32" t="s">
        <v>94</v>
      </c>
      <c r="D367" s="182">
        <v>5</v>
      </c>
      <c r="E367" s="137"/>
      <c r="F367" s="184"/>
      <c r="G367" s="133"/>
      <c r="H367" s="67">
        <f>+Table_1[[#This Row],[Column7]]+Table_1[[#This Row],[Column6]]+Table_1[[#This Row],[Column5]]+Table_1[[#This Row],[Column4]]</f>
        <v>5</v>
      </c>
      <c r="I367" s="38">
        <v>30000</v>
      </c>
      <c r="J367" s="34">
        <f>+'PACC GENERAL 2026'!$H367*'PACC GENERAL 2026'!$I367</f>
        <v>150000</v>
      </c>
      <c r="K367" s="35"/>
      <c r="L367" s="31"/>
      <c r="M367" s="31"/>
      <c r="N367" s="32"/>
      <c r="O367" s="96" t="s">
        <v>404</v>
      </c>
      <c r="P367" s="320"/>
    </row>
    <row r="368" spans="1:16" s="97" customFormat="1" ht="15.5">
      <c r="A368" s="31" t="s">
        <v>760</v>
      </c>
      <c r="B368" s="36" t="s">
        <v>660</v>
      </c>
      <c r="C368" s="32" t="s">
        <v>94</v>
      </c>
      <c r="D368" s="155">
        <v>12</v>
      </c>
      <c r="E368" s="137"/>
      <c r="F368" s="144"/>
      <c r="G368" s="133"/>
      <c r="H368" s="67">
        <f>+Table_1[[#This Row],[Column7]]+Table_1[[#This Row],[Column6]]+Table_1[[#This Row],[Column5]]+Table_1[[#This Row],[Column4]]</f>
        <v>12</v>
      </c>
      <c r="I368" s="38">
        <v>42000</v>
      </c>
      <c r="J368" s="34">
        <f>+'PACC GENERAL 2026'!$H368*'PACC GENERAL 2026'!$I368</f>
        <v>504000</v>
      </c>
      <c r="K368" s="35"/>
      <c r="L368" s="31"/>
      <c r="M368" s="31"/>
      <c r="N368" s="32"/>
      <c r="O368" s="96" t="s">
        <v>1224</v>
      </c>
      <c r="P368" s="320"/>
    </row>
    <row r="369" spans="1:16" s="97" customFormat="1" ht="15.5">
      <c r="A369" s="31" t="s">
        <v>760</v>
      </c>
      <c r="B369" s="36" t="s">
        <v>1252</v>
      </c>
      <c r="C369" s="32" t="s">
        <v>94</v>
      </c>
      <c r="D369" s="155">
        <v>12</v>
      </c>
      <c r="E369" s="137"/>
      <c r="F369" s="144"/>
      <c r="G369" s="133"/>
      <c r="H369" s="67">
        <f>+Table_1[[#This Row],[Column7]]+Table_1[[#This Row],[Column6]]+Table_1[[#This Row],[Column5]]+Table_1[[#This Row],[Column4]]</f>
        <v>12</v>
      </c>
      <c r="I369" s="38">
        <v>26000</v>
      </c>
      <c r="J369" s="34">
        <f>+'PACC GENERAL 2026'!$H369*'PACC GENERAL 2026'!$I369</f>
        <v>312000</v>
      </c>
      <c r="K369" s="35"/>
      <c r="L369" s="31"/>
      <c r="M369" s="31"/>
      <c r="N369" s="32"/>
      <c r="O369" s="96" t="s">
        <v>1224</v>
      </c>
      <c r="P369" s="320"/>
    </row>
    <row r="370" spans="1:16" s="97" customFormat="1" ht="15.5">
      <c r="A370" s="31" t="s">
        <v>760</v>
      </c>
      <c r="B370" s="36" t="s">
        <v>1253</v>
      </c>
      <c r="C370" s="32" t="s">
        <v>94</v>
      </c>
      <c r="D370" s="155">
        <v>30</v>
      </c>
      <c r="E370" s="137"/>
      <c r="F370" s="144"/>
      <c r="G370" s="133"/>
      <c r="H370" s="67">
        <f>+Table_1[[#This Row],[Column7]]+Table_1[[#This Row],[Column6]]+Table_1[[#This Row],[Column5]]+Table_1[[#This Row],[Column4]]</f>
        <v>30</v>
      </c>
      <c r="I370" s="38">
        <v>12000</v>
      </c>
      <c r="J370" s="34">
        <f>+'PACC GENERAL 2026'!$H370*'PACC GENERAL 2026'!$I370</f>
        <v>360000</v>
      </c>
      <c r="K370" s="35"/>
      <c r="L370" s="31"/>
      <c r="M370" s="31"/>
      <c r="N370" s="32"/>
      <c r="O370" s="96" t="s">
        <v>1224</v>
      </c>
      <c r="P370" s="320"/>
    </row>
    <row r="371" spans="1:16" s="97" customFormat="1" ht="15.5">
      <c r="A371" s="31" t="s">
        <v>760</v>
      </c>
      <c r="B371" s="36" t="s">
        <v>1368</v>
      </c>
      <c r="C371" s="32" t="s">
        <v>94</v>
      </c>
      <c r="D371" s="137">
        <v>2</v>
      </c>
      <c r="E371" s="137"/>
      <c r="F371" s="144"/>
      <c r="G371" s="133"/>
      <c r="H371" s="67">
        <f>+Table_1[[#This Row],[Column7]]+Table_1[[#This Row],[Column6]]+Table_1[[#This Row],[Column5]]+Table_1[[#This Row],[Column4]]</f>
        <v>2</v>
      </c>
      <c r="I371" s="38">
        <v>15000</v>
      </c>
      <c r="J371" s="34">
        <f>+'PACC GENERAL 2026'!$H371*'PACC GENERAL 2026'!$I371</f>
        <v>30000</v>
      </c>
      <c r="K371" s="35"/>
      <c r="L371" s="31"/>
      <c r="M371" s="31"/>
      <c r="N371" s="32"/>
      <c r="O371" s="96" t="s">
        <v>1338</v>
      </c>
      <c r="P371" s="320"/>
    </row>
    <row r="372" spans="1:16" s="97" customFormat="1" ht="15.5">
      <c r="A372" s="31" t="s">
        <v>760</v>
      </c>
      <c r="B372" s="175" t="s">
        <v>820</v>
      </c>
      <c r="C372" s="32" t="s">
        <v>94</v>
      </c>
      <c r="D372" s="182"/>
      <c r="E372" s="137"/>
      <c r="F372" s="184"/>
      <c r="G372" s="182"/>
      <c r="H372" s="67">
        <f>+Table_1[[#This Row],[Column7]]+Table_1[[#This Row],[Column6]]+Table_1[[#This Row],[Column5]]+Table_1[[#This Row],[Column4]]</f>
        <v>0</v>
      </c>
      <c r="I372" s="177">
        <v>42000</v>
      </c>
      <c r="J372" s="34">
        <f>+'PACC GENERAL 2026'!$H372*'PACC GENERAL 2026'!$I372</f>
        <v>0</v>
      </c>
      <c r="K372" s="35"/>
      <c r="L372" s="31"/>
      <c r="M372" s="31"/>
      <c r="N372" s="32"/>
      <c r="O372" s="96"/>
      <c r="P372" s="320"/>
    </row>
    <row r="373" spans="1:16" ht="15.5">
      <c r="A373" s="9" t="s">
        <v>760</v>
      </c>
      <c r="B373" s="10"/>
      <c r="C373" s="10"/>
      <c r="D373" s="148"/>
      <c r="E373" s="148"/>
      <c r="F373" s="148"/>
      <c r="G373" s="152"/>
      <c r="H373" s="111"/>
      <c r="I373" s="44"/>
      <c r="J373" s="12"/>
      <c r="K373" s="13">
        <f>SUM(J367:J372)</f>
        <v>1356000</v>
      </c>
      <c r="L373" s="10"/>
      <c r="M373" s="10"/>
      <c r="N373" s="10"/>
      <c r="O373" s="73"/>
    </row>
    <row r="374" spans="1:16" s="97" customFormat="1" ht="15.5">
      <c r="A374" s="31" t="s">
        <v>367</v>
      </c>
      <c r="B374" s="36" t="s">
        <v>705</v>
      </c>
      <c r="C374" s="65" t="s">
        <v>94</v>
      </c>
      <c r="D374" s="137"/>
      <c r="E374" s="286"/>
      <c r="F374" s="137"/>
      <c r="G374" s="137"/>
      <c r="H374" s="67">
        <f>+Table_1[[#This Row],[Column7]]+Table_1[[#This Row],[Column6]]+Table_1[[#This Row],[Column5]]+Table_1[[#This Row],[Column4]]</f>
        <v>0</v>
      </c>
      <c r="I374" s="38">
        <v>135000</v>
      </c>
      <c r="J374" s="34">
        <f>+'PACC GENERAL 2026'!$H374*'PACC GENERAL 2026'!$I374</f>
        <v>0</v>
      </c>
      <c r="O374" s="32"/>
    </row>
    <row r="375" spans="1:16" s="97" customFormat="1" ht="15.5">
      <c r="A375" s="31" t="s">
        <v>367</v>
      </c>
      <c r="B375" s="36" t="s">
        <v>865</v>
      </c>
      <c r="C375" s="65" t="s">
        <v>94</v>
      </c>
      <c r="D375" s="137"/>
      <c r="E375" s="286"/>
      <c r="F375" s="137"/>
      <c r="G375" s="137"/>
      <c r="H375" s="67">
        <f>+Table_1[[#This Row],[Column7]]+Table_1[[#This Row],[Column6]]+Table_1[[#This Row],[Column5]]+Table_1[[#This Row],[Column4]]</f>
        <v>0</v>
      </c>
      <c r="I375" s="38">
        <v>1121000</v>
      </c>
      <c r="J375" s="34">
        <f>+'PACC GENERAL 2026'!$H375*'PACC GENERAL 2026'!$I375</f>
        <v>0</v>
      </c>
      <c r="O375" s="32"/>
      <c r="P375" s="320"/>
    </row>
    <row r="376" spans="1:16" s="97" customFormat="1" ht="15.5">
      <c r="A376" s="31" t="s">
        <v>367</v>
      </c>
      <c r="B376" s="36" t="s">
        <v>866</v>
      </c>
      <c r="C376" s="65" t="s">
        <v>94</v>
      </c>
      <c r="D376" s="137"/>
      <c r="E376" s="286"/>
      <c r="F376" s="137"/>
      <c r="G376" s="137"/>
      <c r="H376" s="67">
        <f>+Table_1[[#This Row],[Column7]]+Table_1[[#This Row],[Column6]]+Table_1[[#This Row],[Column5]]+Table_1[[#This Row],[Column4]]</f>
        <v>0</v>
      </c>
      <c r="I376" s="38">
        <v>2159400</v>
      </c>
      <c r="J376" s="34">
        <f>+'PACC GENERAL 2026'!$H376*'PACC GENERAL 2026'!$I376</f>
        <v>0</v>
      </c>
      <c r="O376" s="32"/>
      <c r="P376" s="320"/>
    </row>
    <row r="377" spans="1:16" ht="15.5">
      <c r="A377" s="9" t="s">
        <v>367</v>
      </c>
      <c r="B377" s="10"/>
      <c r="C377" s="10"/>
      <c r="D377" s="148"/>
      <c r="E377" s="148"/>
      <c r="F377" s="148"/>
      <c r="G377" s="152"/>
      <c r="H377" s="111"/>
      <c r="I377" s="44"/>
      <c r="J377" s="12"/>
      <c r="K377" s="13">
        <f>SUM(J374:J376)</f>
        <v>0</v>
      </c>
      <c r="L377" s="10"/>
      <c r="M377" s="10"/>
      <c r="N377" s="10"/>
      <c r="O377" s="73"/>
    </row>
    <row r="378" spans="1:16" s="287" customFormat="1" ht="36" customHeight="1">
      <c r="A378" s="36" t="s">
        <v>17</v>
      </c>
      <c r="B378" s="36" t="s">
        <v>1483</v>
      </c>
      <c r="C378" s="37" t="s">
        <v>94</v>
      </c>
      <c r="D378" s="165">
        <v>1</v>
      </c>
      <c r="E378" s="213"/>
      <c r="F378" s="165"/>
      <c r="G378" s="138"/>
      <c r="H378" s="67">
        <f>+Table_1[[#This Row],[Column7]]+Table_1[[#This Row],[Column6]]+Table_1[[#This Row],[Column5]]+Table_1[[#This Row],[Column4]]</f>
        <v>1</v>
      </c>
      <c r="I378" s="38">
        <v>18000000</v>
      </c>
      <c r="J378" s="39">
        <f>'PACC GENERAL 2026'!$I378*'PACC GENERAL 2026'!$H378</f>
        <v>18000000</v>
      </c>
      <c r="K378" s="40"/>
      <c r="L378" s="36"/>
      <c r="M378" s="36"/>
      <c r="N378" s="37"/>
      <c r="O378" s="37"/>
    </row>
    <row r="379" spans="1:16" s="287" customFormat="1" ht="31">
      <c r="A379" s="36" t="s">
        <v>17</v>
      </c>
      <c r="B379" s="36" t="s">
        <v>1484</v>
      </c>
      <c r="C379" s="37" t="s">
        <v>94</v>
      </c>
      <c r="D379" s="165">
        <v>1</v>
      </c>
      <c r="E379" s="213"/>
      <c r="F379" s="165"/>
      <c r="G379" s="138"/>
      <c r="H379" s="67">
        <f>+Table_1[[#This Row],[Column7]]+Table_1[[#This Row],[Column6]]+Table_1[[#This Row],[Column5]]+Table_1[[#This Row],[Column4]]</f>
        <v>1</v>
      </c>
      <c r="I379" s="38">
        <v>28200000</v>
      </c>
      <c r="J379" s="39">
        <f>'PACC GENERAL 2026'!$I379*'PACC GENERAL 2026'!$H379</f>
        <v>28200000</v>
      </c>
      <c r="K379" s="40"/>
      <c r="L379" s="36"/>
      <c r="M379" s="36"/>
      <c r="N379" s="37"/>
      <c r="O379" s="37"/>
      <c r="P379" s="323"/>
    </row>
    <row r="380" spans="1:16" s="97" customFormat="1" ht="52" customHeight="1">
      <c r="A380" s="31" t="s">
        <v>17</v>
      </c>
      <c r="B380" s="31" t="s">
        <v>1485</v>
      </c>
      <c r="C380" s="32" t="s">
        <v>94</v>
      </c>
      <c r="D380" s="165">
        <v>1</v>
      </c>
      <c r="E380" s="137"/>
      <c r="F380" s="137"/>
      <c r="G380" s="137"/>
      <c r="H380" s="67">
        <f>+Table_1[[#This Row],[Column7]]+Table_1[[#This Row],[Column6]]+Table_1[[#This Row],[Column5]]+Table_1[[#This Row],[Column4]]</f>
        <v>1</v>
      </c>
      <c r="I380" s="38">
        <v>103000000</v>
      </c>
      <c r="J380" s="39">
        <f>'PACC GENERAL 2026'!$I380*'PACC GENERAL 2026'!$H380</f>
        <v>103000000</v>
      </c>
      <c r="K380" s="35"/>
      <c r="L380" s="31"/>
      <c r="M380" s="31"/>
      <c r="N380" s="32"/>
      <c r="O380" s="32"/>
    </row>
    <row r="381" spans="1:16" s="97" customFormat="1" ht="26.15" customHeight="1">
      <c r="A381" s="31" t="s">
        <v>17</v>
      </c>
      <c r="B381" s="31" t="s">
        <v>1486</v>
      </c>
      <c r="C381" s="32" t="s">
        <v>94</v>
      </c>
      <c r="D381" s="165">
        <v>1</v>
      </c>
      <c r="E381" s="137"/>
      <c r="F381" s="137"/>
      <c r="G381" s="137"/>
      <c r="H381" s="67">
        <f>+Table_1[[#This Row],[Column7]]+Table_1[[#This Row],[Column6]]+Table_1[[#This Row],[Column5]]+Table_1[[#This Row],[Column4]]</f>
        <v>1</v>
      </c>
      <c r="I381" s="38">
        <v>293000000</v>
      </c>
      <c r="J381" s="39">
        <f>'PACC GENERAL 2026'!$I381*'PACC GENERAL 2026'!$H381</f>
        <v>293000000</v>
      </c>
      <c r="K381" s="35"/>
      <c r="L381" s="31"/>
      <c r="M381" s="31"/>
      <c r="N381" s="32"/>
      <c r="O381" s="32"/>
    </row>
    <row r="382" spans="1:16" s="97" customFormat="1" ht="34" customHeight="1">
      <c r="A382" s="31" t="s">
        <v>17</v>
      </c>
      <c r="B382" s="31" t="s">
        <v>1487</v>
      </c>
      <c r="C382" s="32" t="s">
        <v>94</v>
      </c>
      <c r="D382" s="137">
        <v>1</v>
      </c>
      <c r="E382" s="137"/>
      <c r="F382" s="137"/>
      <c r="G382" s="137"/>
      <c r="H382" s="67">
        <f>+Table_1[[#This Row],[Column7]]+Table_1[[#This Row],[Column6]]+Table_1[[#This Row],[Column5]]+Table_1[[#This Row],[Column4]]</f>
        <v>1</v>
      </c>
      <c r="I382" s="38">
        <v>170000000</v>
      </c>
      <c r="J382" s="39">
        <f>'PACC GENERAL 2026'!$I382*'PACC GENERAL 2026'!$H382</f>
        <v>170000000</v>
      </c>
      <c r="K382" s="35"/>
      <c r="L382" s="31"/>
      <c r="M382" s="31"/>
      <c r="N382" s="32"/>
      <c r="O382" s="32"/>
    </row>
    <row r="383" spans="1:16" s="97" customFormat="1" ht="31" customHeight="1">
      <c r="A383" s="31" t="s">
        <v>17</v>
      </c>
      <c r="B383" s="31" t="s">
        <v>1395</v>
      </c>
      <c r="C383" s="32" t="s">
        <v>94</v>
      </c>
      <c r="D383" s="137"/>
      <c r="E383" s="137">
        <v>1</v>
      </c>
      <c r="F383" s="137"/>
      <c r="G383" s="137"/>
      <c r="H383" s="67">
        <f>+Table_1[[#This Row],[Column7]]+Table_1[[#This Row],[Column6]]+Table_1[[#This Row],[Column5]]+Table_1[[#This Row],[Column4]]</f>
        <v>1</v>
      </c>
      <c r="I383" s="38">
        <v>35500000</v>
      </c>
      <c r="J383" s="39">
        <f>'PACC GENERAL 2026'!$I383*'PACC GENERAL 2026'!$H383</f>
        <v>35500000</v>
      </c>
      <c r="K383" s="35"/>
      <c r="L383" s="31"/>
      <c r="M383" s="31"/>
      <c r="N383" s="32"/>
      <c r="O383" s="32"/>
      <c r="P383" s="320"/>
    </row>
    <row r="384" spans="1:16" s="97" customFormat="1" ht="27" customHeight="1">
      <c r="A384" s="31" t="s">
        <v>17</v>
      </c>
      <c r="B384" s="31" t="s">
        <v>1396</v>
      </c>
      <c r="C384" s="32" t="s">
        <v>94</v>
      </c>
      <c r="D384" s="137"/>
      <c r="E384" s="137">
        <v>1</v>
      </c>
      <c r="F384" s="137"/>
      <c r="G384" s="137"/>
      <c r="H384" s="67">
        <f>+Table_1[[#This Row],[Column7]]+Table_1[[#This Row],[Column6]]+Table_1[[#This Row],[Column5]]+Table_1[[#This Row],[Column4]]</f>
        <v>1</v>
      </c>
      <c r="I384" s="38">
        <v>214000000</v>
      </c>
      <c r="J384" s="39">
        <f>'PACC GENERAL 2026'!$I384*'PACC GENERAL 2026'!$H384</f>
        <v>214000000</v>
      </c>
      <c r="K384" s="35"/>
      <c r="L384" s="31"/>
      <c r="M384" s="31"/>
      <c r="N384" s="32"/>
      <c r="O384" s="32"/>
      <c r="P384" s="320"/>
    </row>
    <row r="385" spans="1:16" s="97" customFormat="1" ht="27" customHeight="1">
      <c r="A385" s="31" t="s">
        <v>17</v>
      </c>
      <c r="B385" s="31" t="s">
        <v>1397</v>
      </c>
      <c r="C385" s="32" t="s">
        <v>94</v>
      </c>
      <c r="D385" s="137"/>
      <c r="E385" s="137">
        <v>1</v>
      </c>
      <c r="F385" s="137"/>
      <c r="G385" s="137"/>
      <c r="H385" s="67">
        <f>+Table_1[[#This Row],[Column7]]+Table_1[[#This Row],[Column6]]+Table_1[[#This Row],[Column5]]+Table_1[[#This Row],[Column4]]</f>
        <v>1</v>
      </c>
      <c r="I385" s="38">
        <v>1402000000</v>
      </c>
      <c r="J385" s="39">
        <f>'PACC GENERAL 2026'!$I385*'PACC GENERAL 2026'!$H385</f>
        <v>1402000000</v>
      </c>
      <c r="K385" s="35"/>
      <c r="L385" s="31"/>
      <c r="M385" s="31"/>
      <c r="N385" s="32"/>
      <c r="O385" s="32"/>
      <c r="P385" s="320"/>
    </row>
    <row r="386" spans="1:16" s="97" customFormat="1" ht="27" customHeight="1">
      <c r="A386" s="31" t="s">
        <v>17</v>
      </c>
      <c r="B386" s="31" t="s">
        <v>1398</v>
      </c>
      <c r="C386" s="32" t="s">
        <v>94</v>
      </c>
      <c r="D386" s="137"/>
      <c r="E386" s="137">
        <v>1</v>
      </c>
      <c r="F386" s="137"/>
      <c r="G386" s="137"/>
      <c r="H386" s="67">
        <f>+Table_1[[#This Row],[Column7]]+Table_1[[#This Row],[Column6]]+Table_1[[#This Row],[Column5]]+Table_1[[#This Row],[Column4]]</f>
        <v>1</v>
      </c>
      <c r="I386" s="38">
        <v>1200000000</v>
      </c>
      <c r="J386" s="39">
        <f>'PACC GENERAL 2026'!$I386*'PACC GENERAL 2026'!$H386</f>
        <v>1200000000</v>
      </c>
      <c r="K386" s="35"/>
      <c r="L386" s="31"/>
      <c r="M386" s="31"/>
      <c r="N386" s="32"/>
      <c r="O386" s="32"/>
      <c r="P386" s="320"/>
    </row>
    <row r="387" spans="1:16" s="97" customFormat="1" ht="27" customHeight="1">
      <c r="A387" s="31" t="s">
        <v>17</v>
      </c>
      <c r="B387" s="31" t="s">
        <v>1399</v>
      </c>
      <c r="C387" s="32" t="s">
        <v>94</v>
      </c>
      <c r="D387" s="137"/>
      <c r="E387" s="137">
        <v>1</v>
      </c>
      <c r="F387" s="137"/>
      <c r="G387" s="137"/>
      <c r="H387" s="67">
        <f>+Table_1[[#This Row],[Column7]]+Table_1[[#This Row],[Column6]]+Table_1[[#This Row],[Column5]]+Table_1[[#This Row],[Column4]]</f>
        <v>1</v>
      </c>
      <c r="I387" s="282">
        <v>0</v>
      </c>
      <c r="J387" s="39">
        <f>'PACC GENERAL 2026'!$I387*'PACC GENERAL 2026'!$H387</f>
        <v>0</v>
      </c>
      <c r="K387" s="35"/>
      <c r="L387" s="31"/>
      <c r="M387" s="31"/>
      <c r="N387" s="32"/>
      <c r="O387" s="32"/>
      <c r="P387" s="320"/>
    </row>
    <row r="388" spans="1:16" s="97" customFormat="1" ht="27" customHeight="1">
      <c r="A388" s="31" t="s">
        <v>17</v>
      </c>
      <c r="B388" s="31" t="s">
        <v>1400</v>
      </c>
      <c r="C388" s="32" t="s">
        <v>94</v>
      </c>
      <c r="D388" s="137"/>
      <c r="E388" s="137">
        <v>1</v>
      </c>
      <c r="F388" s="137"/>
      <c r="G388" s="137"/>
      <c r="H388" s="67">
        <f>+Table_1[[#This Row],[Column7]]+Table_1[[#This Row],[Column6]]+Table_1[[#This Row],[Column5]]+Table_1[[#This Row],[Column4]]</f>
        <v>1</v>
      </c>
      <c r="I388" s="282">
        <v>0</v>
      </c>
      <c r="J388" s="39">
        <f>'PACC GENERAL 2026'!$I388*'PACC GENERAL 2026'!$H388</f>
        <v>0</v>
      </c>
      <c r="K388" s="35"/>
      <c r="L388" s="31"/>
      <c r="M388" s="31"/>
      <c r="N388" s="32"/>
      <c r="O388" s="32"/>
      <c r="P388" s="320"/>
    </row>
    <row r="389" spans="1:16" s="97" customFormat="1" ht="27" customHeight="1">
      <c r="A389" s="31" t="s">
        <v>17</v>
      </c>
      <c r="B389" s="31" t="s">
        <v>1401</v>
      </c>
      <c r="C389" s="32" t="s">
        <v>94</v>
      </c>
      <c r="D389" s="137"/>
      <c r="E389" s="137">
        <v>1</v>
      </c>
      <c r="F389" s="137"/>
      <c r="G389" s="137"/>
      <c r="H389" s="67">
        <f>+Table_1[[#This Row],[Column7]]+Table_1[[#This Row],[Column6]]+Table_1[[#This Row],[Column5]]+Table_1[[#This Row],[Column4]]</f>
        <v>1</v>
      </c>
      <c r="I389" s="282">
        <v>0</v>
      </c>
      <c r="J389" s="39">
        <f>'PACC GENERAL 2026'!$I389*'PACC GENERAL 2026'!$H389</f>
        <v>0</v>
      </c>
      <c r="K389" s="35"/>
      <c r="L389" s="31"/>
      <c r="M389" s="31"/>
      <c r="N389" s="32"/>
      <c r="O389" s="32"/>
      <c r="P389" s="320"/>
    </row>
    <row r="390" spans="1:16" s="97" customFormat="1" ht="27" customHeight="1">
      <c r="A390" s="31" t="s">
        <v>17</v>
      </c>
      <c r="B390" s="31" t="s">
        <v>1402</v>
      </c>
      <c r="C390" s="32" t="s">
        <v>94</v>
      </c>
      <c r="D390" s="137"/>
      <c r="E390" s="137">
        <v>1</v>
      </c>
      <c r="F390" s="137"/>
      <c r="G390" s="137"/>
      <c r="H390" s="67">
        <f>+Table_1[[#This Row],[Column7]]+Table_1[[#This Row],[Column6]]+Table_1[[#This Row],[Column5]]+Table_1[[#This Row],[Column4]]</f>
        <v>1</v>
      </c>
      <c r="I390" s="282">
        <v>0</v>
      </c>
      <c r="J390" s="39">
        <f>'PACC GENERAL 2026'!$I390*'PACC GENERAL 2026'!$H390</f>
        <v>0</v>
      </c>
      <c r="K390" s="35"/>
      <c r="L390" s="31"/>
      <c r="M390" s="31"/>
      <c r="N390" s="32"/>
      <c r="O390" s="32"/>
      <c r="P390" s="320"/>
    </row>
    <row r="391" spans="1:16" s="97" customFormat="1" ht="27" customHeight="1">
      <c r="A391" s="31" t="s">
        <v>17</v>
      </c>
      <c r="B391" s="31" t="s">
        <v>1403</v>
      </c>
      <c r="C391" s="32" t="s">
        <v>94</v>
      </c>
      <c r="D391" s="137"/>
      <c r="E391" s="137">
        <v>1</v>
      </c>
      <c r="F391" s="137"/>
      <c r="G391" s="137"/>
      <c r="H391" s="67">
        <f>+Table_1[[#This Row],[Column7]]+Table_1[[#This Row],[Column6]]+Table_1[[#This Row],[Column5]]+Table_1[[#This Row],[Column4]]</f>
        <v>1</v>
      </c>
      <c r="I391" s="282">
        <v>0</v>
      </c>
      <c r="J391" s="39">
        <f>'PACC GENERAL 2026'!$I391*'PACC GENERAL 2026'!$H391</f>
        <v>0</v>
      </c>
      <c r="K391" s="35"/>
      <c r="L391" s="31"/>
      <c r="M391" s="31"/>
      <c r="N391" s="32"/>
      <c r="O391" s="32"/>
      <c r="P391" s="320"/>
    </row>
    <row r="392" spans="1:16" s="97" customFormat="1" ht="27" customHeight="1">
      <c r="A392" s="31" t="s">
        <v>17</v>
      </c>
      <c r="B392" s="31" t="s">
        <v>1404</v>
      </c>
      <c r="C392" s="32" t="s">
        <v>94</v>
      </c>
      <c r="D392" s="137"/>
      <c r="E392" s="137">
        <v>1</v>
      </c>
      <c r="F392" s="137"/>
      <c r="G392" s="137"/>
      <c r="H392" s="67">
        <f>+Table_1[[#This Row],[Column7]]+Table_1[[#This Row],[Column6]]+Table_1[[#This Row],[Column5]]+Table_1[[#This Row],[Column4]]</f>
        <v>1</v>
      </c>
      <c r="I392" s="282">
        <v>0</v>
      </c>
      <c r="J392" s="39">
        <f>'PACC GENERAL 2026'!$I392*'PACC GENERAL 2026'!$H392</f>
        <v>0</v>
      </c>
      <c r="K392" s="35"/>
      <c r="L392" s="31"/>
      <c r="M392" s="31"/>
      <c r="N392" s="32"/>
      <c r="O392" s="32"/>
      <c r="P392" s="320"/>
    </row>
    <row r="393" spans="1:16" s="97" customFormat="1" ht="27" customHeight="1">
      <c r="A393" s="31" t="s">
        <v>17</v>
      </c>
      <c r="B393" s="31" t="s">
        <v>1405</v>
      </c>
      <c r="C393" s="32" t="s">
        <v>94</v>
      </c>
      <c r="D393" s="137"/>
      <c r="E393" s="137">
        <v>1</v>
      </c>
      <c r="F393" s="137"/>
      <c r="G393" s="137"/>
      <c r="H393" s="67">
        <f>+Table_1[[#This Row],[Column7]]+Table_1[[#This Row],[Column6]]+Table_1[[#This Row],[Column5]]+Table_1[[#This Row],[Column4]]</f>
        <v>1</v>
      </c>
      <c r="I393" s="282">
        <v>0</v>
      </c>
      <c r="J393" s="39">
        <f>'PACC GENERAL 2026'!$I393*'PACC GENERAL 2026'!$H393</f>
        <v>0</v>
      </c>
      <c r="K393" s="35"/>
      <c r="L393" s="31"/>
      <c r="M393" s="31"/>
      <c r="N393" s="32"/>
      <c r="O393" s="32"/>
      <c r="P393" s="320"/>
    </row>
    <row r="394" spans="1:16" s="97" customFormat="1" ht="27" customHeight="1">
      <c r="A394" s="31" t="s">
        <v>17</v>
      </c>
      <c r="B394" s="31" t="s">
        <v>1406</v>
      </c>
      <c r="C394" s="32" t="s">
        <v>94</v>
      </c>
      <c r="D394" s="137"/>
      <c r="E394" s="137">
        <v>1</v>
      </c>
      <c r="F394" s="137"/>
      <c r="G394" s="137"/>
      <c r="H394" s="67">
        <f>+Table_1[[#This Row],[Column7]]+Table_1[[#This Row],[Column6]]+Table_1[[#This Row],[Column5]]+Table_1[[#This Row],[Column4]]</f>
        <v>1</v>
      </c>
      <c r="I394" s="282">
        <v>0</v>
      </c>
      <c r="J394" s="39">
        <f>'PACC GENERAL 2026'!$I394*'PACC GENERAL 2026'!$H394</f>
        <v>0</v>
      </c>
      <c r="K394" s="35"/>
      <c r="L394" s="31"/>
      <c r="M394" s="31"/>
      <c r="N394" s="32"/>
      <c r="O394" s="32"/>
      <c r="P394" s="320"/>
    </row>
    <row r="395" spans="1:16" s="97" customFormat="1" ht="27" customHeight="1">
      <c r="A395" s="31" t="s">
        <v>17</v>
      </c>
      <c r="B395" s="31" t="s">
        <v>1407</v>
      </c>
      <c r="C395" s="32" t="s">
        <v>94</v>
      </c>
      <c r="D395" s="137"/>
      <c r="E395" s="137">
        <v>1</v>
      </c>
      <c r="F395" s="137"/>
      <c r="G395" s="137"/>
      <c r="H395" s="67">
        <f>+Table_1[[#This Row],[Column7]]+Table_1[[#This Row],[Column6]]+Table_1[[#This Row],[Column5]]+Table_1[[#This Row],[Column4]]</f>
        <v>1</v>
      </c>
      <c r="I395" s="38">
        <v>219000000</v>
      </c>
      <c r="J395" s="39">
        <f>'PACC GENERAL 2026'!$I395*'PACC GENERAL 2026'!$H395</f>
        <v>219000000</v>
      </c>
      <c r="K395" s="35"/>
      <c r="L395" s="31"/>
      <c r="M395" s="31"/>
      <c r="N395" s="32"/>
      <c r="O395" s="32"/>
      <c r="P395" s="320"/>
    </row>
    <row r="396" spans="1:16" s="97" customFormat="1" ht="27" customHeight="1">
      <c r="A396" s="31" t="s">
        <v>17</v>
      </c>
      <c r="B396" s="31" t="s">
        <v>1408</v>
      </c>
      <c r="C396" s="32" t="s">
        <v>94</v>
      </c>
      <c r="D396" s="137"/>
      <c r="E396" s="137">
        <v>1</v>
      </c>
      <c r="F396" s="137"/>
      <c r="G396" s="137"/>
      <c r="H396" s="67">
        <f>+Table_1[[#This Row],[Column7]]+Table_1[[#This Row],[Column6]]+Table_1[[#This Row],[Column5]]+Table_1[[#This Row],[Column4]]</f>
        <v>1</v>
      </c>
      <c r="I396" s="38">
        <v>1407000000</v>
      </c>
      <c r="J396" s="39">
        <f>'PACC GENERAL 2026'!$I396*'PACC GENERAL 2026'!$H396</f>
        <v>1407000000</v>
      </c>
      <c r="K396" s="35"/>
      <c r="L396" s="31"/>
      <c r="M396" s="31"/>
      <c r="N396" s="32"/>
      <c r="O396" s="32"/>
      <c r="P396" s="320"/>
    </row>
    <row r="397" spans="1:16" s="97" customFormat="1" ht="27" customHeight="1">
      <c r="A397" s="31" t="s">
        <v>17</v>
      </c>
      <c r="B397" s="31" t="s">
        <v>1409</v>
      </c>
      <c r="C397" s="32" t="s">
        <v>94</v>
      </c>
      <c r="D397" s="137"/>
      <c r="E397" s="137">
        <v>1</v>
      </c>
      <c r="F397" s="137"/>
      <c r="G397" s="137"/>
      <c r="H397" s="67">
        <f>+Table_1[[#This Row],[Column7]]+Table_1[[#This Row],[Column6]]+Table_1[[#This Row],[Column5]]+Table_1[[#This Row],[Column4]]</f>
        <v>1</v>
      </c>
      <c r="I397" s="38">
        <v>926000000</v>
      </c>
      <c r="J397" s="39">
        <f>'PACC GENERAL 2026'!$I397*'PACC GENERAL 2026'!$H397</f>
        <v>926000000</v>
      </c>
      <c r="K397" s="35"/>
      <c r="L397" s="31"/>
      <c r="M397" s="31"/>
      <c r="N397" s="32"/>
      <c r="O397" s="32"/>
      <c r="P397" s="320"/>
    </row>
    <row r="398" spans="1:16" s="97" customFormat="1" ht="27" customHeight="1">
      <c r="A398" s="31" t="s">
        <v>17</v>
      </c>
      <c r="B398" s="31" t="s">
        <v>1410</v>
      </c>
      <c r="C398" s="32" t="s">
        <v>94</v>
      </c>
      <c r="D398" s="137"/>
      <c r="E398" s="137">
        <v>1</v>
      </c>
      <c r="F398" s="137"/>
      <c r="G398" s="137"/>
      <c r="H398" s="67">
        <f>+Table_1[[#This Row],[Column7]]+Table_1[[#This Row],[Column6]]+Table_1[[#This Row],[Column5]]+Table_1[[#This Row],[Column4]]</f>
        <v>1</v>
      </c>
      <c r="I398" s="282">
        <v>0</v>
      </c>
      <c r="J398" s="39">
        <f>'PACC GENERAL 2026'!$I398*'PACC GENERAL 2026'!$H398</f>
        <v>0</v>
      </c>
      <c r="K398" s="35"/>
      <c r="L398" s="31"/>
      <c r="M398" s="31"/>
      <c r="N398" s="32"/>
      <c r="O398" s="32"/>
      <c r="P398" s="320"/>
    </row>
    <row r="399" spans="1:16" s="97" customFormat="1" ht="27" customHeight="1">
      <c r="A399" s="31" t="s">
        <v>17</v>
      </c>
      <c r="B399" s="31" t="s">
        <v>1411</v>
      </c>
      <c r="C399" s="32" t="s">
        <v>94</v>
      </c>
      <c r="D399" s="137"/>
      <c r="E399" s="137">
        <v>1</v>
      </c>
      <c r="F399" s="137"/>
      <c r="G399" s="137"/>
      <c r="H399" s="67">
        <f>+Table_1[[#This Row],[Column7]]+Table_1[[#This Row],[Column6]]+Table_1[[#This Row],[Column5]]+Table_1[[#This Row],[Column4]]</f>
        <v>1</v>
      </c>
      <c r="I399" s="282">
        <v>0</v>
      </c>
      <c r="J399" s="39">
        <f>'PACC GENERAL 2026'!$I399*'PACC GENERAL 2026'!$H399</f>
        <v>0</v>
      </c>
      <c r="K399" s="35"/>
      <c r="L399" s="31"/>
      <c r="M399" s="31"/>
      <c r="N399" s="32"/>
      <c r="O399" s="32"/>
      <c r="P399" s="320"/>
    </row>
    <row r="400" spans="1:16" s="97" customFormat="1" ht="27" customHeight="1">
      <c r="A400" s="31" t="s">
        <v>17</v>
      </c>
      <c r="B400" s="31" t="s">
        <v>1412</v>
      </c>
      <c r="C400" s="32" t="s">
        <v>94</v>
      </c>
      <c r="D400" s="137"/>
      <c r="E400" s="137">
        <v>1</v>
      </c>
      <c r="F400" s="137"/>
      <c r="G400" s="137"/>
      <c r="H400" s="67">
        <f>+Table_1[[#This Row],[Column7]]+Table_1[[#This Row],[Column6]]+Table_1[[#This Row],[Column5]]+Table_1[[#This Row],[Column4]]</f>
        <v>1</v>
      </c>
      <c r="I400" s="38">
        <v>1078000000</v>
      </c>
      <c r="J400" s="39">
        <f>'PACC GENERAL 2026'!$I400*'PACC GENERAL 2026'!$H400</f>
        <v>1078000000</v>
      </c>
      <c r="K400" s="35"/>
      <c r="L400" s="31"/>
      <c r="M400" s="31"/>
      <c r="N400" s="32"/>
      <c r="O400" s="32"/>
      <c r="P400" s="320"/>
    </row>
    <row r="401" spans="1:16" s="97" customFormat="1" ht="27" customHeight="1">
      <c r="A401" s="31" t="s">
        <v>17</v>
      </c>
      <c r="B401" s="31" t="s">
        <v>1413</v>
      </c>
      <c r="C401" s="32" t="s">
        <v>94</v>
      </c>
      <c r="D401" s="137"/>
      <c r="E401" s="137">
        <v>1</v>
      </c>
      <c r="F401" s="137"/>
      <c r="G401" s="137"/>
      <c r="H401" s="67">
        <f>+Table_1[[#This Row],[Column7]]+Table_1[[#This Row],[Column6]]+Table_1[[#This Row],[Column5]]+Table_1[[#This Row],[Column4]]</f>
        <v>1</v>
      </c>
      <c r="I401" s="282">
        <v>0</v>
      </c>
      <c r="J401" s="39">
        <f>'PACC GENERAL 2026'!$I401*'PACC GENERAL 2026'!$H401</f>
        <v>0</v>
      </c>
      <c r="K401" s="35"/>
      <c r="L401" s="31"/>
      <c r="M401" s="31"/>
      <c r="N401" s="32"/>
      <c r="O401" s="32"/>
      <c r="P401" s="320"/>
    </row>
    <row r="402" spans="1:16" s="97" customFormat="1" ht="27" customHeight="1">
      <c r="A402" s="31" t="s">
        <v>17</v>
      </c>
      <c r="B402" s="31" t="s">
        <v>1414</v>
      </c>
      <c r="C402" s="32" t="s">
        <v>94</v>
      </c>
      <c r="D402" s="137"/>
      <c r="E402" s="137">
        <v>1</v>
      </c>
      <c r="F402" s="137"/>
      <c r="G402" s="137"/>
      <c r="H402" s="67">
        <f>+Table_1[[#This Row],[Column7]]+Table_1[[#This Row],[Column6]]+Table_1[[#This Row],[Column5]]+Table_1[[#This Row],[Column4]]</f>
        <v>1</v>
      </c>
      <c r="I402" s="38">
        <v>411000000</v>
      </c>
      <c r="J402" s="39">
        <f>'PACC GENERAL 2026'!$I402*'PACC GENERAL 2026'!$H402</f>
        <v>411000000</v>
      </c>
      <c r="K402" s="35"/>
      <c r="L402" s="31"/>
      <c r="M402" s="31"/>
      <c r="N402" s="32"/>
      <c r="O402" s="32"/>
      <c r="P402" s="320"/>
    </row>
    <row r="403" spans="1:16" s="97" customFormat="1" ht="20" customHeight="1">
      <c r="A403" s="31" t="s">
        <v>17</v>
      </c>
      <c r="B403" s="31" t="s">
        <v>1415</v>
      </c>
      <c r="C403" s="32" t="s">
        <v>94</v>
      </c>
      <c r="D403" s="133"/>
      <c r="E403" s="137">
        <v>1</v>
      </c>
      <c r="F403" s="137"/>
      <c r="G403" s="137"/>
      <c r="H403" s="67">
        <f>+Table_1[[#This Row],[Column7]]+Table_1[[#This Row],[Column6]]+Table_1[[#This Row],[Column5]]+Table_1[[#This Row],[Column4]]</f>
        <v>1</v>
      </c>
      <c r="I403" s="282">
        <v>0</v>
      </c>
      <c r="J403" s="39">
        <f>'PACC GENERAL 2026'!$I403*'PACC GENERAL 2026'!$H403</f>
        <v>0</v>
      </c>
      <c r="K403" s="35"/>
      <c r="L403" s="31"/>
      <c r="M403" s="31"/>
      <c r="N403" s="32"/>
      <c r="O403" s="32"/>
    </row>
    <row r="404" spans="1:16" s="97" customFormat="1" ht="18.5" customHeight="1">
      <c r="A404" s="31" t="s">
        <v>17</v>
      </c>
      <c r="B404" s="31" t="s">
        <v>1416</v>
      </c>
      <c r="C404" s="32" t="s">
        <v>94</v>
      </c>
      <c r="D404" s="133"/>
      <c r="E404" s="137">
        <v>1</v>
      </c>
      <c r="F404" s="137"/>
      <c r="G404" s="137"/>
      <c r="H404" s="67">
        <f>+Table_1[[#This Row],[Column7]]+Table_1[[#This Row],[Column6]]+Table_1[[#This Row],[Column5]]+Table_1[[#This Row],[Column4]]</f>
        <v>1</v>
      </c>
      <c r="I404" s="282">
        <v>0</v>
      </c>
      <c r="J404" s="39">
        <f>'PACC GENERAL 2026'!$I404*'PACC GENERAL 2026'!$H404</f>
        <v>0</v>
      </c>
      <c r="K404" s="35"/>
      <c r="L404" s="31"/>
      <c r="M404" s="31"/>
      <c r="N404" s="32"/>
      <c r="O404" s="32"/>
    </row>
    <row r="405" spans="1:16" s="287" customFormat="1" ht="31">
      <c r="A405" s="36" t="s">
        <v>17</v>
      </c>
      <c r="B405" s="36" t="s">
        <v>1417</v>
      </c>
      <c r="C405" s="37" t="s">
        <v>94</v>
      </c>
      <c r="D405" s="138"/>
      <c r="E405" s="213">
        <v>1</v>
      </c>
      <c r="F405" s="213"/>
      <c r="G405" s="213"/>
      <c r="H405" s="67">
        <f>+Table_1[[#This Row],[Column7]]+Table_1[[#This Row],[Column6]]+Table_1[[#This Row],[Column5]]+Table_1[[#This Row],[Column4]]</f>
        <v>1</v>
      </c>
      <c r="I405" s="38">
        <v>56000000</v>
      </c>
      <c r="J405" s="39">
        <f>'PACC GENERAL 2026'!$I405*'PACC GENERAL 2026'!$H405</f>
        <v>56000000</v>
      </c>
      <c r="K405" s="40"/>
      <c r="L405" s="36"/>
      <c r="M405" s="36"/>
      <c r="N405" s="37"/>
      <c r="O405" s="37"/>
    </row>
    <row r="406" spans="1:16" s="97" customFormat="1" ht="20" customHeight="1">
      <c r="A406" s="31" t="s">
        <v>17</v>
      </c>
      <c r="B406" s="31" t="s">
        <v>1418</v>
      </c>
      <c r="C406" s="32" t="s">
        <v>94</v>
      </c>
      <c r="D406" s="133"/>
      <c r="E406" s="137">
        <v>1</v>
      </c>
      <c r="F406" s="137"/>
      <c r="G406" s="137"/>
      <c r="H406" s="67">
        <f>+Table_1[[#This Row],[Column7]]+Table_1[[#This Row],[Column6]]+Table_1[[#This Row],[Column5]]+Table_1[[#This Row],[Column4]]</f>
        <v>1</v>
      </c>
      <c r="I406" s="282">
        <v>0</v>
      </c>
      <c r="J406" s="39">
        <f>'PACC GENERAL 2026'!$I406*'PACC GENERAL 2026'!$H406</f>
        <v>0</v>
      </c>
      <c r="K406" s="35"/>
      <c r="L406" s="31"/>
      <c r="M406" s="31"/>
      <c r="N406" s="32"/>
      <c r="O406" s="32"/>
      <c r="P406" s="320"/>
    </row>
    <row r="407" spans="1:16" s="97" customFormat="1" ht="15.5">
      <c r="A407" s="31" t="s">
        <v>17</v>
      </c>
      <c r="B407" s="31" t="s">
        <v>1419</v>
      </c>
      <c r="C407" s="32" t="s">
        <v>94</v>
      </c>
      <c r="D407" s="133"/>
      <c r="E407" s="137">
        <v>1</v>
      </c>
      <c r="F407" s="137"/>
      <c r="G407" s="137"/>
      <c r="H407" s="67">
        <f>+Table_1[[#This Row],[Column7]]+Table_1[[#This Row],[Column6]]+Table_1[[#This Row],[Column5]]+Table_1[[#This Row],[Column4]]</f>
        <v>1</v>
      </c>
      <c r="I407" s="282">
        <v>0</v>
      </c>
      <c r="J407" s="39">
        <f>'PACC GENERAL 2026'!$I407*'PACC GENERAL 2026'!$H407</f>
        <v>0</v>
      </c>
      <c r="K407" s="35"/>
      <c r="L407" s="31"/>
      <c r="M407" s="31"/>
      <c r="N407" s="32"/>
      <c r="O407" s="32"/>
      <c r="P407" s="320"/>
    </row>
    <row r="408" spans="1:16" s="97" customFormat="1" ht="23.5" customHeight="1">
      <c r="A408" s="174" t="s">
        <v>17</v>
      </c>
      <c r="B408" s="174" t="s">
        <v>1420</v>
      </c>
      <c r="C408" s="179" t="s">
        <v>94</v>
      </c>
      <c r="D408" s="182"/>
      <c r="E408" s="137">
        <v>1</v>
      </c>
      <c r="F408" s="194"/>
      <c r="G408" s="137"/>
      <c r="H408" s="67">
        <f>+Table_1[[#This Row],[Column7]]+Table_1[[#This Row],[Column6]]+Table_1[[#This Row],[Column5]]+Table_1[[#This Row],[Column4]]</f>
        <v>1</v>
      </c>
      <c r="I408" s="316">
        <v>0</v>
      </c>
      <c r="J408" s="39">
        <f>'PACC GENERAL 2026'!$I408*'PACC GENERAL 2026'!$H408</f>
        <v>0</v>
      </c>
      <c r="K408" s="186"/>
      <c r="L408" s="174"/>
      <c r="M408" s="174"/>
      <c r="N408" s="179"/>
      <c r="O408" s="32"/>
      <c r="P408" s="320"/>
    </row>
    <row r="409" spans="1:16" s="97" customFormat="1" ht="31">
      <c r="A409" s="31" t="s">
        <v>17</v>
      </c>
      <c r="B409" s="31" t="s">
        <v>1421</v>
      </c>
      <c r="C409" s="32" t="s">
        <v>94</v>
      </c>
      <c r="D409" s="133"/>
      <c r="E409" s="137">
        <v>1</v>
      </c>
      <c r="F409" s="137"/>
      <c r="G409" s="137"/>
      <c r="H409" s="67">
        <f>+Table_1[[#This Row],[Column7]]+Table_1[[#This Row],[Column6]]+Table_1[[#This Row],[Column5]]+Table_1[[#This Row],[Column4]]</f>
        <v>1</v>
      </c>
      <c r="I409" s="282">
        <v>0</v>
      </c>
      <c r="J409" s="39">
        <f>'PACC GENERAL 2026'!$I409*'PACC GENERAL 2026'!$H409</f>
        <v>0</v>
      </c>
      <c r="K409" s="35"/>
      <c r="L409" s="31"/>
      <c r="M409" s="31"/>
      <c r="N409" s="32"/>
      <c r="O409" s="32"/>
    </row>
    <row r="410" spans="1:16" s="97" customFormat="1" ht="19" customHeight="1">
      <c r="A410" s="31" t="s">
        <v>17</v>
      </c>
      <c r="B410" s="31" t="s">
        <v>1422</v>
      </c>
      <c r="C410" s="32" t="s">
        <v>94</v>
      </c>
      <c r="D410" s="133"/>
      <c r="E410" s="137">
        <v>1</v>
      </c>
      <c r="F410" s="137"/>
      <c r="G410" s="137"/>
      <c r="H410" s="67">
        <f>+Table_1[[#This Row],[Column7]]+Table_1[[#This Row],[Column6]]+Table_1[[#This Row],[Column5]]+Table_1[[#This Row],[Column4]]</f>
        <v>1</v>
      </c>
      <c r="I410" s="282">
        <v>0</v>
      </c>
      <c r="J410" s="39">
        <f>'PACC GENERAL 2026'!$I410*'PACC GENERAL 2026'!$H410</f>
        <v>0</v>
      </c>
      <c r="K410" s="35"/>
      <c r="L410" s="31"/>
      <c r="M410" s="31"/>
      <c r="N410" s="32"/>
      <c r="O410" s="32"/>
      <c r="P410" s="320"/>
    </row>
    <row r="411" spans="1:16" s="97" customFormat="1" ht="23" customHeight="1">
      <c r="A411" s="31" t="s">
        <v>17</v>
      </c>
      <c r="B411" s="31" t="s">
        <v>1423</v>
      </c>
      <c r="C411" s="32" t="s">
        <v>94</v>
      </c>
      <c r="D411" s="133"/>
      <c r="E411" s="137">
        <v>1</v>
      </c>
      <c r="F411" s="137"/>
      <c r="G411" s="137"/>
      <c r="H411" s="67">
        <f>+Table_1[[#This Row],[Column7]]+Table_1[[#This Row],[Column6]]+Table_1[[#This Row],[Column5]]+Table_1[[#This Row],[Column4]]</f>
        <v>1</v>
      </c>
      <c r="I411" s="282">
        <v>0</v>
      </c>
      <c r="J411" s="39">
        <f>'PACC GENERAL 2026'!$I411*'PACC GENERAL 2026'!$H411</f>
        <v>0</v>
      </c>
      <c r="K411" s="35"/>
      <c r="L411" s="31"/>
      <c r="M411" s="31"/>
      <c r="N411" s="32"/>
      <c r="O411" s="32"/>
      <c r="P411" s="320"/>
    </row>
    <row r="412" spans="1:16" s="97" customFormat="1" ht="15.5">
      <c r="A412" s="31" t="s">
        <v>17</v>
      </c>
      <c r="B412" s="31" t="s">
        <v>1424</v>
      </c>
      <c r="C412" s="32" t="s">
        <v>94</v>
      </c>
      <c r="D412" s="133"/>
      <c r="E412" s="137">
        <v>1</v>
      </c>
      <c r="F412" s="137"/>
      <c r="G412" s="137"/>
      <c r="H412" s="67">
        <f>+Table_1[[#This Row],[Column7]]+Table_1[[#This Row],[Column6]]+Table_1[[#This Row],[Column5]]+Table_1[[#This Row],[Column4]]</f>
        <v>1</v>
      </c>
      <c r="I412" s="282">
        <v>0</v>
      </c>
      <c r="J412" s="39">
        <f>'PACC GENERAL 2026'!$I412*'PACC GENERAL 2026'!$H412</f>
        <v>0</v>
      </c>
      <c r="K412" s="35"/>
      <c r="L412" s="31"/>
      <c r="M412" s="31"/>
      <c r="N412" s="32"/>
      <c r="O412" s="32"/>
      <c r="P412" s="320"/>
    </row>
    <row r="413" spans="1:16" ht="15.5">
      <c r="A413" s="9" t="s">
        <v>17</v>
      </c>
      <c r="B413" s="10"/>
      <c r="C413" s="10"/>
      <c r="D413" s="148"/>
      <c r="E413" s="148"/>
      <c r="F413" s="148"/>
      <c r="G413" s="152"/>
      <c r="H413" s="111"/>
      <c r="I413" s="44"/>
      <c r="J413" s="12"/>
      <c r="K413" s="13">
        <f>SUM(J378:J412)</f>
        <v>7560700000</v>
      </c>
      <c r="L413" s="10"/>
      <c r="M413" s="10"/>
      <c r="N413" s="10"/>
      <c r="O413" s="73"/>
    </row>
    <row r="414" spans="1:16" s="97" customFormat="1" ht="15.5">
      <c r="A414" s="36" t="s">
        <v>351</v>
      </c>
      <c r="B414" s="302" t="s">
        <v>1433</v>
      </c>
      <c r="C414" s="32" t="s">
        <v>94</v>
      </c>
      <c r="D414" s="146"/>
      <c r="E414" s="139"/>
      <c r="F414" s="133"/>
      <c r="G414" s="133"/>
      <c r="H414" s="67">
        <f>+Table_1[[#This Row],[Column4]]+Table_1[[#This Row],[Column5]]+Table_1[[#This Row],[Column6]]+Table_1[[#This Row],[Column7]]</f>
        <v>0</v>
      </c>
      <c r="I414" s="312">
        <v>2500</v>
      </c>
      <c r="J414" s="34">
        <f>'PACC GENERAL 2026'!$I414*'PACC GENERAL 2026'!$H414</f>
        <v>0</v>
      </c>
      <c r="K414" s="35"/>
      <c r="L414" s="16"/>
      <c r="M414" s="16"/>
      <c r="N414" s="276"/>
      <c r="O414" s="32"/>
    </row>
    <row r="415" spans="1:16" ht="15.5">
      <c r="A415" s="53" t="s">
        <v>351</v>
      </c>
      <c r="B415" s="10"/>
      <c r="C415" s="10"/>
      <c r="D415" s="148"/>
      <c r="E415" s="148"/>
      <c r="F415" s="148"/>
      <c r="G415" s="152"/>
      <c r="H415" s="111"/>
      <c r="I415" s="44"/>
      <c r="J415" s="12"/>
      <c r="K415" s="13">
        <f>+J414</f>
        <v>0</v>
      </c>
      <c r="L415" s="10"/>
      <c r="M415" s="10"/>
      <c r="N415" s="10"/>
      <c r="O415" s="73"/>
    </row>
    <row r="416" spans="1:16" s="97" customFormat="1" ht="15.5">
      <c r="A416" s="31" t="s">
        <v>774</v>
      </c>
      <c r="B416" s="36" t="s">
        <v>775</v>
      </c>
      <c r="C416" s="32" t="s">
        <v>94</v>
      </c>
      <c r="D416" s="133"/>
      <c r="E416" s="133"/>
      <c r="F416" s="151"/>
      <c r="G416" s="133"/>
      <c r="H416" s="67">
        <f>+Table_1[[#This Row],[Column4]]+Table_1[[#This Row],[Column5]]+Table_1[[#This Row],[Column6]]+Table_1[[#This Row],[Column7]]</f>
        <v>0</v>
      </c>
      <c r="I416" s="38">
        <v>70</v>
      </c>
      <c r="J416" s="34">
        <f>'PACC GENERAL 2026'!$I416*'PACC GENERAL 2026'!$H416</f>
        <v>0</v>
      </c>
      <c r="K416" s="35"/>
      <c r="L416" s="31"/>
      <c r="M416" s="31"/>
      <c r="N416" s="32"/>
      <c r="O416" s="32"/>
    </row>
    <row r="417" spans="1:16" s="97" customFormat="1" ht="15.5">
      <c r="A417" s="31" t="s">
        <v>18</v>
      </c>
      <c r="B417" s="36" t="s">
        <v>135</v>
      </c>
      <c r="C417" s="32" t="s">
        <v>94</v>
      </c>
      <c r="D417" s="133">
        <v>12</v>
      </c>
      <c r="E417" s="133"/>
      <c r="F417" s="284">
        <v>28</v>
      </c>
      <c r="G417" s="133"/>
      <c r="H417" s="67">
        <f>+Table_1[[#This Row],[Column7]]+Table_1[[#This Row],[Column6]]+Table_1[[#This Row],[Column5]]+Table_1[[#This Row],[Column4]]</f>
        <v>40</v>
      </c>
      <c r="I417" s="38">
        <v>118</v>
      </c>
      <c r="J417" s="34">
        <f>'PACC GENERAL 2026'!$I417*'PACC GENERAL 2026'!$H417</f>
        <v>4720</v>
      </c>
      <c r="K417" s="35"/>
      <c r="L417" s="31"/>
      <c r="M417" s="31"/>
      <c r="N417" s="32"/>
      <c r="O417" s="32" t="s">
        <v>1681</v>
      </c>
      <c r="P417" s="320"/>
    </row>
    <row r="418" spans="1:16" s="97" customFormat="1" ht="15.5">
      <c r="A418" s="31" t="s">
        <v>18</v>
      </c>
      <c r="B418" s="36" t="s">
        <v>136</v>
      </c>
      <c r="C418" s="32" t="s">
        <v>94</v>
      </c>
      <c r="D418" s="133">
        <v>4</v>
      </c>
      <c r="E418" s="133"/>
      <c r="F418" s="284">
        <v>7</v>
      </c>
      <c r="G418" s="133"/>
      <c r="H418" s="67">
        <f>+Table_1[[#This Row],[Column7]]+Table_1[[#This Row],[Column6]]+Table_1[[#This Row],[Column5]]+Table_1[[#This Row],[Column4]]</f>
        <v>11</v>
      </c>
      <c r="I418" s="38">
        <v>179</v>
      </c>
      <c r="J418" s="34">
        <f>'PACC GENERAL 2026'!$I418*'PACC GENERAL 2026'!$H418</f>
        <v>1969</v>
      </c>
      <c r="K418" s="35"/>
      <c r="L418" s="31"/>
      <c r="M418" s="31"/>
      <c r="N418" s="32"/>
      <c r="O418" s="32" t="s">
        <v>1681</v>
      </c>
      <c r="P418" s="320"/>
    </row>
    <row r="419" spans="1:16" s="97" customFormat="1" ht="15.5">
      <c r="A419" s="31" t="s">
        <v>18</v>
      </c>
      <c r="B419" s="36" t="s">
        <v>137</v>
      </c>
      <c r="C419" s="32" t="s">
        <v>94</v>
      </c>
      <c r="D419" s="133">
        <v>2</v>
      </c>
      <c r="E419" s="133"/>
      <c r="F419" s="284">
        <v>3</v>
      </c>
      <c r="G419" s="133"/>
      <c r="H419" s="67">
        <f>+Table_1[[#This Row],[Column7]]+Table_1[[#This Row],[Column6]]+Table_1[[#This Row],[Column5]]+Table_1[[#This Row],[Column4]]</f>
        <v>5</v>
      </c>
      <c r="I419" s="38">
        <v>192</v>
      </c>
      <c r="J419" s="34">
        <f>'PACC GENERAL 2026'!$I419*'PACC GENERAL 2026'!$H419</f>
        <v>960</v>
      </c>
      <c r="K419" s="35"/>
      <c r="L419" s="31"/>
      <c r="M419" s="31"/>
      <c r="N419" s="32"/>
      <c r="O419" s="32" t="s">
        <v>1681</v>
      </c>
      <c r="P419" s="320"/>
    </row>
    <row r="420" spans="1:16" s="97" customFormat="1" ht="15.5">
      <c r="A420" s="31" t="s">
        <v>18</v>
      </c>
      <c r="B420" s="31" t="s">
        <v>139</v>
      </c>
      <c r="C420" s="32" t="s">
        <v>94</v>
      </c>
      <c r="D420" s="133"/>
      <c r="E420" s="286"/>
      <c r="F420" s="133"/>
      <c r="G420" s="133"/>
      <c r="H420" s="67">
        <f>+Table_1[[#This Row],[Column7]]+Table_1[[#This Row],[Column6]]+Table_1[[#This Row],[Column5]]+Table_1[[#This Row],[Column4]]</f>
        <v>0</v>
      </c>
      <c r="I420" s="38">
        <v>1550</v>
      </c>
      <c r="J420" s="34">
        <f>'PACC GENERAL 2026'!$I420*'PACC GENERAL 2026'!$H420</f>
        <v>0</v>
      </c>
      <c r="K420" s="35"/>
      <c r="L420" s="31"/>
      <c r="M420" s="31"/>
      <c r="N420" s="32"/>
      <c r="O420" s="32"/>
    </row>
    <row r="421" spans="1:16" s="418" customFormat="1" ht="15.75" customHeight="1">
      <c r="A421" s="126" t="s">
        <v>18</v>
      </c>
      <c r="B421" s="126" t="s">
        <v>921</v>
      </c>
      <c r="C421" s="420" t="s">
        <v>133</v>
      </c>
      <c r="D421" s="416">
        <v>3000</v>
      </c>
      <c r="E421" s="416"/>
      <c r="F421" s="500"/>
      <c r="G421" s="421"/>
      <c r="H421" s="410">
        <f>+Table_1[[#This Row],[Column7]]+Table_1[[#This Row],[Column6]]+Table_1[[#This Row],[Column5]]+Table_1[[#This Row],[Column4]]</f>
        <v>3000</v>
      </c>
      <c r="I421" s="274">
        <v>2.5</v>
      </c>
      <c r="J421" s="422">
        <f>+'PACC GENERAL 2026'!$H421*'PACC GENERAL 2026'!$I421</f>
        <v>7500</v>
      </c>
      <c r="K421" s="423"/>
      <c r="L421" s="420"/>
      <c r="M421" s="425"/>
      <c r="N421" s="425"/>
      <c r="O421" s="420" t="s">
        <v>404</v>
      </c>
      <c r="P421" s="417"/>
    </row>
    <row r="422" spans="1:16" s="418" customFormat="1" ht="15.75" customHeight="1">
      <c r="A422" s="126" t="s">
        <v>18</v>
      </c>
      <c r="B422" s="126" t="s">
        <v>913</v>
      </c>
      <c r="C422" s="420" t="s">
        <v>133</v>
      </c>
      <c r="D422" s="416">
        <v>200</v>
      </c>
      <c r="E422" s="416"/>
      <c r="F422" s="500"/>
      <c r="G422" s="421"/>
      <c r="H422" s="410">
        <f>+Table_1[[#This Row],[Column7]]+Table_1[[#This Row],[Column6]]+Table_1[[#This Row],[Column5]]+Table_1[[#This Row],[Column4]]</f>
        <v>200</v>
      </c>
      <c r="I422" s="274">
        <v>15</v>
      </c>
      <c r="J422" s="422">
        <f>+'PACC GENERAL 2026'!$H422*'PACC GENERAL 2026'!$I422</f>
        <v>3000</v>
      </c>
      <c r="K422" s="423"/>
      <c r="L422" s="420"/>
      <c r="M422" s="425"/>
      <c r="N422" s="425"/>
      <c r="O422" s="420" t="s">
        <v>404</v>
      </c>
      <c r="P422" s="417"/>
    </row>
    <row r="423" spans="1:16" s="418" customFormat="1" ht="15.75" customHeight="1">
      <c r="A423" s="126" t="s">
        <v>18</v>
      </c>
      <c r="B423" s="126" t="s">
        <v>918</v>
      </c>
      <c r="C423" s="420" t="s">
        <v>133</v>
      </c>
      <c r="D423" s="416">
        <v>3000</v>
      </c>
      <c r="E423" s="416"/>
      <c r="F423" s="500"/>
      <c r="G423" s="421"/>
      <c r="H423" s="410">
        <f>+Table_1[[#This Row],[Column7]]+Table_1[[#This Row],[Column6]]+Table_1[[#This Row],[Column5]]+Table_1[[#This Row],[Column4]]</f>
        <v>3000</v>
      </c>
      <c r="I423" s="274">
        <v>10</v>
      </c>
      <c r="J423" s="422">
        <f>+'PACC GENERAL 2026'!$H423*'PACC GENERAL 2026'!$I423</f>
        <v>30000</v>
      </c>
      <c r="K423" s="423"/>
      <c r="L423" s="420"/>
      <c r="M423" s="425"/>
      <c r="N423" s="425"/>
      <c r="O423" s="420" t="s">
        <v>404</v>
      </c>
      <c r="P423" s="417"/>
    </row>
    <row r="424" spans="1:16" s="418" customFormat="1" ht="15.75" customHeight="1">
      <c r="A424" s="126" t="s">
        <v>18</v>
      </c>
      <c r="B424" s="126" t="s">
        <v>911</v>
      </c>
      <c r="C424" s="420" t="s">
        <v>133</v>
      </c>
      <c r="D424" s="416">
        <v>60</v>
      </c>
      <c r="E424" s="416"/>
      <c r="F424" s="500"/>
      <c r="G424" s="421"/>
      <c r="H424" s="410">
        <f>+Table_1[[#This Row],[Column7]]+Table_1[[#This Row],[Column6]]+Table_1[[#This Row],[Column5]]+Table_1[[#This Row],[Column4]]</f>
        <v>60</v>
      </c>
      <c r="I424" s="274">
        <v>55</v>
      </c>
      <c r="J424" s="422">
        <f>+'PACC GENERAL 2026'!$H424*'PACC GENERAL 2026'!$I424</f>
        <v>3300</v>
      </c>
      <c r="K424" s="423"/>
      <c r="L424" s="420"/>
      <c r="M424" s="425"/>
      <c r="N424" s="425"/>
      <c r="O424" s="420" t="s">
        <v>404</v>
      </c>
      <c r="P424" s="417"/>
    </row>
    <row r="425" spans="1:16" s="418" customFormat="1" ht="15.75" customHeight="1">
      <c r="A425" s="126" t="s">
        <v>18</v>
      </c>
      <c r="B425" s="126" t="s">
        <v>917</v>
      </c>
      <c r="C425" s="420" t="s">
        <v>133</v>
      </c>
      <c r="D425" s="416">
        <v>800</v>
      </c>
      <c r="E425" s="416"/>
      <c r="F425" s="500"/>
      <c r="G425" s="421"/>
      <c r="H425" s="410">
        <f>+Table_1[[#This Row],[Column7]]+Table_1[[#This Row],[Column6]]+Table_1[[#This Row],[Column5]]+Table_1[[#This Row],[Column4]]</f>
        <v>800</v>
      </c>
      <c r="I425" s="274">
        <v>35</v>
      </c>
      <c r="J425" s="422">
        <f>+'PACC GENERAL 2026'!$H425*'PACC GENERAL 2026'!$I425</f>
        <v>28000</v>
      </c>
      <c r="K425" s="423"/>
      <c r="L425" s="420"/>
      <c r="M425" s="425"/>
      <c r="N425" s="425"/>
      <c r="O425" s="420" t="s">
        <v>404</v>
      </c>
      <c r="P425" s="417"/>
    </row>
    <row r="426" spans="1:16" s="97" customFormat="1" ht="15.5">
      <c r="A426" s="174" t="s">
        <v>18</v>
      </c>
      <c r="B426" s="175" t="s">
        <v>146</v>
      </c>
      <c r="C426" s="179" t="s">
        <v>94</v>
      </c>
      <c r="D426" s="182">
        <v>15</v>
      </c>
      <c r="E426" s="183"/>
      <c r="F426" s="200"/>
      <c r="G426" s="182"/>
      <c r="H426" s="67">
        <f>+Table_1[[#This Row],[Column7]]+Table_1[[#This Row],[Column6]]+Table_1[[#This Row],[Column5]]+Table_1[[#This Row],[Column4]]</f>
        <v>15</v>
      </c>
      <c r="I426" s="177">
        <v>6100</v>
      </c>
      <c r="J426" s="201">
        <f>'PACC GENERAL 2026'!$I426*'PACC GENERAL 2026'!$H426</f>
        <v>91500</v>
      </c>
      <c r="K426" s="186"/>
      <c r="L426" s="174"/>
      <c r="M426" s="174"/>
      <c r="N426" s="179"/>
      <c r="O426" s="179" t="s">
        <v>1001</v>
      </c>
    </row>
    <row r="427" spans="1:16" ht="15.5">
      <c r="A427" s="9" t="s">
        <v>18</v>
      </c>
      <c r="B427" s="10" t="s">
        <v>117</v>
      </c>
      <c r="C427" s="11"/>
      <c r="D427" s="148"/>
      <c r="E427" s="148"/>
      <c r="F427" s="148"/>
      <c r="G427" s="152"/>
      <c r="H427" s="111"/>
      <c r="I427" s="44"/>
      <c r="J427" s="12"/>
      <c r="K427" s="13">
        <f>SUM(J416:J426)</f>
        <v>170949</v>
      </c>
      <c r="L427" s="10"/>
      <c r="M427" s="10"/>
      <c r="N427" s="10"/>
      <c r="O427" s="73"/>
    </row>
    <row r="428" spans="1:16" s="97" customFormat="1" ht="15.5">
      <c r="A428" s="31" t="s">
        <v>538</v>
      </c>
      <c r="B428" s="31" t="s">
        <v>539</v>
      </c>
      <c r="C428" s="32" t="s">
        <v>94</v>
      </c>
      <c r="D428" s="137"/>
      <c r="E428" s="139"/>
      <c r="F428" s="133"/>
      <c r="G428" s="133"/>
      <c r="H428" s="67">
        <f>+Table_1[[#This Row],[Column7]]+Table_1[[#This Row],[Column6]]+Table_1[[#This Row],[Column5]]+Table_1[[#This Row],[Column4]]</f>
        <v>0</v>
      </c>
      <c r="I428" s="38">
        <v>1562</v>
      </c>
      <c r="J428" s="34">
        <f>'PACC GENERAL 2026'!$I428*'PACC GENERAL 2026'!$H428</f>
        <v>0</v>
      </c>
      <c r="K428" s="35"/>
      <c r="L428" s="276"/>
      <c r="M428" s="86"/>
      <c r="N428" s="86"/>
      <c r="O428" s="32"/>
      <c r="P428" s="32"/>
    </row>
    <row r="429" spans="1:16" s="97" customFormat="1" ht="15.5">
      <c r="A429" s="31" t="s">
        <v>538</v>
      </c>
      <c r="B429" s="31" t="s">
        <v>540</v>
      </c>
      <c r="C429" s="32" t="s">
        <v>94</v>
      </c>
      <c r="D429" s="137"/>
      <c r="E429" s="139"/>
      <c r="F429" s="133"/>
      <c r="G429" s="133"/>
      <c r="H429" s="67">
        <f>+Table_1[[#This Row],[Column7]]+Table_1[[#This Row],[Column6]]+Table_1[[#This Row],[Column5]]+Table_1[[#This Row],[Column4]]</f>
        <v>0</v>
      </c>
      <c r="I429" s="38">
        <v>391</v>
      </c>
      <c r="J429" s="34">
        <f>'PACC GENERAL 2026'!$I429*'PACC GENERAL 2026'!$H429</f>
        <v>0</v>
      </c>
      <c r="K429" s="35"/>
      <c r="L429" s="276"/>
      <c r="M429" s="86"/>
      <c r="N429" s="86"/>
      <c r="O429" s="32"/>
      <c r="P429" s="32"/>
    </row>
    <row r="430" spans="1:16" s="97" customFormat="1" ht="15.5">
      <c r="A430" s="31" t="s">
        <v>538</v>
      </c>
      <c r="B430" s="31" t="s">
        <v>541</v>
      </c>
      <c r="C430" s="32" t="s">
        <v>94</v>
      </c>
      <c r="D430" s="137"/>
      <c r="E430" s="139"/>
      <c r="F430" s="133"/>
      <c r="G430" s="133"/>
      <c r="H430" s="67">
        <f>+Table_1[[#This Row],[Column7]]+Table_1[[#This Row],[Column6]]+Table_1[[#This Row],[Column5]]+Table_1[[#This Row],[Column4]]</f>
        <v>0</v>
      </c>
      <c r="I430" s="38">
        <v>460</v>
      </c>
      <c r="J430" s="34">
        <f>'PACC GENERAL 2026'!$I430*'PACC GENERAL 2026'!$H430</f>
        <v>0</v>
      </c>
      <c r="K430" s="35"/>
      <c r="L430" s="276"/>
      <c r="M430" s="86"/>
      <c r="N430" s="86"/>
      <c r="O430" s="32"/>
      <c r="P430" s="32"/>
    </row>
    <row r="431" spans="1:16" s="97" customFormat="1" ht="15.5">
      <c r="A431" s="31" t="s">
        <v>538</v>
      </c>
      <c r="B431" s="31" t="s">
        <v>542</v>
      </c>
      <c r="C431" s="32" t="s">
        <v>94</v>
      </c>
      <c r="D431" s="137"/>
      <c r="E431" s="139"/>
      <c r="F431" s="133"/>
      <c r="G431" s="133"/>
      <c r="H431" s="67">
        <f>+Table_1[[#This Row],[Column7]]+Table_1[[#This Row],[Column6]]+Table_1[[#This Row],[Column5]]+Table_1[[#This Row],[Column4]]</f>
        <v>0</v>
      </c>
      <c r="I431" s="38">
        <v>587</v>
      </c>
      <c r="J431" s="34">
        <f>'PACC GENERAL 2026'!$I431*'PACC GENERAL 2026'!$H431</f>
        <v>0</v>
      </c>
      <c r="K431" s="35"/>
      <c r="L431" s="276"/>
      <c r="M431" s="86"/>
      <c r="N431" s="86"/>
      <c r="O431" s="32"/>
      <c r="P431" s="32"/>
    </row>
    <row r="432" spans="1:16" s="97" customFormat="1" ht="15.5">
      <c r="A432" s="174" t="s">
        <v>538</v>
      </c>
      <c r="B432" s="174" t="s">
        <v>543</v>
      </c>
      <c r="C432" s="179" t="s">
        <v>94</v>
      </c>
      <c r="D432" s="194"/>
      <c r="E432" s="183"/>
      <c r="F432" s="182"/>
      <c r="G432" s="182"/>
      <c r="H432" s="67">
        <f>+Table_1[[#This Row],[Column7]]+Table_1[[#This Row],[Column6]]+Table_1[[#This Row],[Column5]]+Table_1[[#This Row],[Column4]]</f>
        <v>0</v>
      </c>
      <c r="I432" s="177">
        <v>717</v>
      </c>
      <c r="J432" s="201">
        <f>'PACC GENERAL 2026'!$I432*'PACC GENERAL 2026'!$H432</f>
        <v>0</v>
      </c>
      <c r="K432" s="186"/>
      <c r="L432" s="190"/>
      <c r="M432" s="86"/>
      <c r="N432" s="86"/>
      <c r="O432" s="179"/>
      <c r="P432" s="32"/>
    </row>
    <row r="433" spans="1:16" s="97" customFormat="1" ht="15.5">
      <c r="A433" s="31" t="s">
        <v>538</v>
      </c>
      <c r="B433" s="31" t="s">
        <v>544</v>
      </c>
      <c r="C433" s="32" t="s">
        <v>94</v>
      </c>
      <c r="D433" s="137"/>
      <c r="E433" s="139"/>
      <c r="F433" s="133"/>
      <c r="G433" s="133"/>
      <c r="H433" s="67">
        <f>+Table_1[[#This Row],[Column7]]+Table_1[[#This Row],[Column6]]+Table_1[[#This Row],[Column5]]+Table_1[[#This Row],[Column4]]</f>
        <v>0</v>
      </c>
      <c r="I433" s="38">
        <v>979</v>
      </c>
      <c r="J433" s="34">
        <f>'PACC GENERAL 2026'!$I433*'PACC GENERAL 2026'!$H433</f>
        <v>0</v>
      </c>
      <c r="K433" s="35"/>
      <c r="L433" s="276"/>
      <c r="M433" s="86"/>
      <c r="N433" s="86"/>
      <c r="O433" s="32"/>
      <c r="P433" s="32"/>
    </row>
    <row r="434" spans="1:16" s="97" customFormat="1" ht="15.5">
      <c r="A434" s="31" t="s">
        <v>538</v>
      </c>
      <c r="B434" s="31" t="s">
        <v>545</v>
      </c>
      <c r="C434" s="32" t="s">
        <v>94</v>
      </c>
      <c r="D434" s="137"/>
      <c r="E434" s="139"/>
      <c r="F434" s="133"/>
      <c r="G434" s="133"/>
      <c r="H434" s="67">
        <f>+Table_1[[#This Row],[Column7]]+Table_1[[#This Row],[Column6]]+Table_1[[#This Row],[Column5]]+Table_1[[#This Row],[Column4]]</f>
        <v>0</v>
      </c>
      <c r="I434" s="38">
        <v>1498</v>
      </c>
      <c r="J434" s="34">
        <f>'PACC GENERAL 2026'!$I434*'PACC GENERAL 2026'!$H434</f>
        <v>0</v>
      </c>
      <c r="K434" s="35"/>
      <c r="L434" s="276"/>
      <c r="M434" s="86"/>
      <c r="N434" s="86"/>
      <c r="O434" s="32"/>
      <c r="P434" s="32"/>
    </row>
    <row r="435" spans="1:16" s="97" customFormat="1" ht="15.5">
      <c r="A435" s="31" t="s">
        <v>538</v>
      </c>
      <c r="B435" s="31" t="s">
        <v>546</v>
      </c>
      <c r="C435" s="32" t="s">
        <v>94</v>
      </c>
      <c r="D435" s="137"/>
      <c r="E435" s="139"/>
      <c r="F435" s="133"/>
      <c r="G435" s="133"/>
      <c r="H435" s="67">
        <f>+Table_1[[#This Row],[Column7]]+Table_1[[#This Row],[Column6]]+Table_1[[#This Row],[Column5]]+Table_1[[#This Row],[Column4]]</f>
        <v>0</v>
      </c>
      <c r="I435" s="38">
        <v>700</v>
      </c>
      <c r="J435" s="34">
        <f>'PACC GENERAL 2026'!$I435*'PACC GENERAL 2026'!$H435</f>
        <v>0</v>
      </c>
      <c r="K435" s="35"/>
      <c r="L435" s="8"/>
      <c r="M435" s="86"/>
      <c r="N435" s="86"/>
      <c r="O435" s="32"/>
      <c r="P435" s="35"/>
    </row>
    <row r="436" spans="1:16" s="97" customFormat="1" ht="15.5">
      <c r="A436" s="31" t="s">
        <v>538</v>
      </c>
      <c r="B436" s="31" t="s">
        <v>547</v>
      </c>
      <c r="C436" s="32" t="s">
        <v>94</v>
      </c>
      <c r="D436" s="137"/>
      <c r="E436" s="139"/>
      <c r="F436" s="133"/>
      <c r="G436" s="133"/>
      <c r="H436" s="67">
        <f>+Table_1[[#This Row],[Column7]]+Table_1[[#This Row],[Column6]]+Table_1[[#This Row],[Column5]]+Table_1[[#This Row],[Column4]]</f>
        <v>0</v>
      </c>
      <c r="I436" s="38">
        <v>1953</v>
      </c>
      <c r="J436" s="34">
        <f>'PACC GENERAL 2026'!$I436*'PACC GENERAL 2026'!$H436</f>
        <v>0</v>
      </c>
      <c r="K436" s="35"/>
      <c r="L436" s="8"/>
      <c r="M436" s="86"/>
      <c r="N436" s="86"/>
      <c r="O436" s="179"/>
      <c r="P436" s="35"/>
    </row>
    <row r="437" spans="1:16" ht="15.5">
      <c r="A437" s="9" t="s">
        <v>538</v>
      </c>
      <c r="B437" s="10"/>
      <c r="C437" s="11"/>
      <c r="D437" s="152"/>
      <c r="E437" s="152"/>
      <c r="F437" s="152"/>
      <c r="G437" s="152"/>
      <c r="H437" s="111"/>
      <c r="I437" s="44"/>
      <c r="J437" s="12"/>
      <c r="K437" s="13">
        <f>SUM(J428:J436)</f>
        <v>0</v>
      </c>
      <c r="L437" s="10"/>
      <c r="M437" s="10"/>
      <c r="N437" s="10"/>
      <c r="O437" s="73"/>
      <c r="P437" s="321"/>
    </row>
    <row r="438" spans="1:16" s="97" customFormat="1" ht="15.5">
      <c r="A438" s="16" t="s">
        <v>19</v>
      </c>
      <c r="B438" s="16" t="s">
        <v>439</v>
      </c>
      <c r="C438" s="76" t="s">
        <v>133</v>
      </c>
      <c r="D438" s="146">
        <v>10</v>
      </c>
      <c r="E438" s="146"/>
      <c r="F438" s="146"/>
      <c r="G438" s="146"/>
      <c r="H438" s="67">
        <f>+Table_1[[#This Row],[Column7]]+Table_1[[#This Row],[Column6]]+Table_1[[#This Row],[Column5]]+Table_1[[#This Row],[Column4]]</f>
        <v>10</v>
      </c>
      <c r="I438" s="38">
        <v>300</v>
      </c>
      <c r="J438" s="34">
        <f>+'PACC GENERAL 2026'!$H438*'PACC GENERAL 2026'!$I438</f>
        <v>3000</v>
      </c>
      <c r="K438" s="35"/>
      <c r="L438" s="31"/>
      <c r="M438" s="31"/>
      <c r="N438" s="31"/>
      <c r="O438" s="32" t="s">
        <v>1001</v>
      </c>
    </row>
    <row r="439" spans="1:16" s="97" customFormat="1" ht="15.5">
      <c r="A439" s="16" t="s">
        <v>19</v>
      </c>
      <c r="B439" s="16" t="s">
        <v>440</v>
      </c>
      <c r="C439" s="76" t="s">
        <v>133</v>
      </c>
      <c r="D439" s="146">
        <v>50</v>
      </c>
      <c r="E439" s="146"/>
      <c r="F439" s="146"/>
      <c r="G439" s="146"/>
      <c r="H439" s="67">
        <f>+Table_1[[#This Row],[Column7]]+Table_1[[#This Row],[Column6]]+Table_1[[#This Row],[Column5]]+Table_1[[#This Row],[Column4]]</f>
        <v>50</v>
      </c>
      <c r="I439" s="38">
        <v>450</v>
      </c>
      <c r="J439" s="34">
        <f>+'PACC GENERAL 2026'!$H439*'PACC GENERAL 2026'!$I439</f>
        <v>22500</v>
      </c>
      <c r="K439" s="35"/>
      <c r="L439" s="31"/>
      <c r="M439" s="31"/>
      <c r="N439" s="31"/>
      <c r="O439" s="179" t="s">
        <v>1001</v>
      </c>
    </row>
    <row r="440" spans="1:16" s="97" customFormat="1" ht="15.5">
      <c r="A440" s="188" t="s">
        <v>19</v>
      </c>
      <c r="B440" s="188" t="s">
        <v>441</v>
      </c>
      <c r="C440" s="191" t="s">
        <v>133</v>
      </c>
      <c r="D440" s="198">
        <v>5</v>
      </c>
      <c r="E440" s="198"/>
      <c r="F440" s="198"/>
      <c r="G440" s="198"/>
      <c r="H440" s="67">
        <f>+Table_1[[#This Row],[Column7]]+Table_1[[#This Row],[Column6]]+Table_1[[#This Row],[Column5]]+Table_1[[#This Row],[Column4]]</f>
        <v>5</v>
      </c>
      <c r="I440" s="177">
        <v>150</v>
      </c>
      <c r="J440" s="34">
        <f>+'PACC GENERAL 2026'!$H440*'PACC GENERAL 2026'!$I440</f>
        <v>750</v>
      </c>
      <c r="K440" s="186"/>
      <c r="L440" s="174"/>
      <c r="M440" s="174"/>
      <c r="N440" s="174"/>
      <c r="O440" s="179" t="s">
        <v>1001</v>
      </c>
    </row>
    <row r="441" spans="1:16" s="97" customFormat="1" ht="15.5">
      <c r="A441" s="16" t="s">
        <v>19</v>
      </c>
      <c r="B441" s="16" t="s">
        <v>442</v>
      </c>
      <c r="C441" s="76" t="s">
        <v>133</v>
      </c>
      <c r="D441" s="146">
        <v>5</v>
      </c>
      <c r="E441" s="146"/>
      <c r="F441" s="146"/>
      <c r="G441" s="146"/>
      <c r="H441" s="67">
        <f>+Table_1[[#This Row],[Column7]]+Table_1[[#This Row],[Column6]]+Table_1[[#This Row],[Column5]]+Table_1[[#This Row],[Column4]]</f>
        <v>5</v>
      </c>
      <c r="I441" s="38">
        <v>150</v>
      </c>
      <c r="J441" s="34">
        <f>+'PACC GENERAL 2026'!$H441*'PACC GENERAL 2026'!$I441</f>
        <v>750</v>
      </c>
      <c r="K441" s="35"/>
      <c r="L441" s="31"/>
      <c r="M441" s="174"/>
      <c r="N441" s="174"/>
      <c r="O441" s="179" t="s">
        <v>1001</v>
      </c>
    </row>
    <row r="442" spans="1:16" s="97" customFormat="1" ht="15.5">
      <c r="A442" s="16" t="s">
        <v>19</v>
      </c>
      <c r="B442" s="16" t="s">
        <v>443</v>
      </c>
      <c r="C442" s="76" t="s">
        <v>133</v>
      </c>
      <c r="D442" s="146">
        <v>5</v>
      </c>
      <c r="E442" s="146"/>
      <c r="F442" s="146"/>
      <c r="G442" s="146"/>
      <c r="H442" s="67">
        <f>+Table_1[[#This Row],[Column7]]+Table_1[[#This Row],[Column6]]+Table_1[[#This Row],[Column5]]+Table_1[[#This Row],[Column4]]</f>
        <v>5</v>
      </c>
      <c r="I442" s="38">
        <v>150</v>
      </c>
      <c r="J442" s="34">
        <f>+'PACC GENERAL 2026'!$H442*'PACC GENERAL 2026'!$I442</f>
        <v>750</v>
      </c>
      <c r="K442" s="35"/>
      <c r="L442" s="31"/>
      <c r="M442" s="174"/>
      <c r="N442" s="174"/>
      <c r="O442" s="32" t="s">
        <v>1001</v>
      </c>
    </row>
    <row r="443" spans="1:16" s="97" customFormat="1" ht="15.5">
      <c r="A443" s="188" t="s">
        <v>19</v>
      </c>
      <c r="B443" s="188" t="s">
        <v>444</v>
      </c>
      <c r="C443" s="191" t="s">
        <v>133</v>
      </c>
      <c r="D443" s="198">
        <v>5</v>
      </c>
      <c r="E443" s="198"/>
      <c r="F443" s="198"/>
      <c r="G443" s="198"/>
      <c r="H443" s="67">
        <f>+Table_1[[#This Row],[Column7]]+Table_1[[#This Row],[Column6]]+Table_1[[#This Row],[Column5]]+Table_1[[#This Row],[Column4]]</f>
        <v>5</v>
      </c>
      <c r="I443" s="177">
        <v>150</v>
      </c>
      <c r="J443" s="34">
        <f>+'PACC GENERAL 2026'!$H443*'PACC GENERAL 2026'!$I443</f>
        <v>750</v>
      </c>
      <c r="K443" s="186"/>
      <c r="L443" s="174"/>
      <c r="M443" s="174"/>
      <c r="N443" s="174"/>
      <c r="O443" s="179" t="s">
        <v>1001</v>
      </c>
    </row>
    <row r="444" spans="1:16" s="97" customFormat="1" ht="15.5">
      <c r="A444" s="16" t="s">
        <v>19</v>
      </c>
      <c r="B444" s="16" t="s">
        <v>445</v>
      </c>
      <c r="C444" s="76" t="s">
        <v>133</v>
      </c>
      <c r="D444" s="146">
        <v>5</v>
      </c>
      <c r="E444" s="146"/>
      <c r="F444" s="146"/>
      <c r="G444" s="146"/>
      <c r="H444" s="67">
        <f>+Table_1[[#This Row],[Column7]]+Table_1[[#This Row],[Column6]]+Table_1[[#This Row],[Column5]]+Table_1[[#This Row],[Column4]]</f>
        <v>5</v>
      </c>
      <c r="I444" s="38">
        <v>150</v>
      </c>
      <c r="J444" s="34">
        <f>+'PACC GENERAL 2026'!$H444*'PACC GENERAL 2026'!$I444</f>
        <v>750</v>
      </c>
      <c r="K444" s="35"/>
      <c r="L444" s="31"/>
      <c r="M444" s="31"/>
      <c r="N444" s="31"/>
      <c r="O444" s="32" t="s">
        <v>1001</v>
      </c>
    </row>
    <row r="445" spans="1:16" s="97" customFormat="1" ht="15.5">
      <c r="A445" s="16" t="s">
        <v>19</v>
      </c>
      <c r="B445" s="16" t="s">
        <v>141</v>
      </c>
      <c r="C445" s="76" t="s">
        <v>94</v>
      </c>
      <c r="D445" s="146">
        <v>25</v>
      </c>
      <c r="E445" s="146"/>
      <c r="F445" s="146"/>
      <c r="G445" s="146"/>
      <c r="H445" s="67">
        <f>+Table_1[[#This Row],[Column7]]+Table_1[[#This Row],[Column6]]+Table_1[[#This Row],[Column5]]+Table_1[[#This Row],[Column4]]</f>
        <v>25</v>
      </c>
      <c r="I445" s="38">
        <v>260</v>
      </c>
      <c r="J445" s="34">
        <f>+'PACC GENERAL 2026'!$H445*'PACC GENERAL 2026'!$I445</f>
        <v>6500</v>
      </c>
      <c r="K445" s="35"/>
      <c r="L445" s="31"/>
      <c r="M445" s="31"/>
      <c r="N445" s="31"/>
      <c r="O445" s="32" t="s">
        <v>1001</v>
      </c>
    </row>
    <row r="446" spans="1:16" s="97" customFormat="1" ht="15.5">
      <c r="A446" s="31" t="s">
        <v>19</v>
      </c>
      <c r="B446" s="31" t="s">
        <v>394</v>
      </c>
      <c r="C446" s="65" t="s">
        <v>94</v>
      </c>
      <c r="D446" s="139">
        <v>400</v>
      </c>
      <c r="E446" s="137"/>
      <c r="F446" s="139"/>
      <c r="G446" s="139"/>
      <c r="H446" s="67">
        <f>+Table_1[[#This Row],[Column7]]+Table_1[[#This Row],[Column6]]+Table_1[[#This Row],[Column5]]+Table_1[[#This Row],[Column4]]</f>
        <v>400</v>
      </c>
      <c r="I446" s="38">
        <v>325</v>
      </c>
      <c r="J446" s="34">
        <f>+'PACC GENERAL 2026'!$H446*'PACC GENERAL 2026'!$I446</f>
        <v>130000</v>
      </c>
      <c r="K446" s="35"/>
      <c r="L446" s="31"/>
      <c r="M446" s="31"/>
      <c r="N446" s="31"/>
      <c r="O446" s="32" t="s">
        <v>1224</v>
      </c>
    </row>
    <row r="447" spans="1:16" s="97" customFormat="1" ht="15.5">
      <c r="A447" s="31" t="s">
        <v>19</v>
      </c>
      <c r="B447" s="31" t="s">
        <v>1254</v>
      </c>
      <c r="C447" s="65" t="s">
        <v>93</v>
      </c>
      <c r="D447" s="139">
        <v>80</v>
      </c>
      <c r="E447" s="137"/>
      <c r="F447" s="139"/>
      <c r="G447" s="139"/>
      <c r="H447" s="67">
        <f>+Table_1[[#This Row],[Column7]]+Table_1[[#This Row],[Column6]]+Table_1[[#This Row],[Column5]]+Table_1[[#This Row],[Column4]]</f>
        <v>80</v>
      </c>
      <c r="I447" s="38">
        <v>325</v>
      </c>
      <c r="J447" s="34">
        <f>+'PACC GENERAL 2026'!$H447*'PACC GENERAL 2026'!$I447</f>
        <v>26000</v>
      </c>
      <c r="K447" s="35"/>
      <c r="L447" s="31"/>
      <c r="M447" s="31"/>
      <c r="N447" s="31"/>
      <c r="O447" s="32" t="s">
        <v>1224</v>
      </c>
    </row>
    <row r="448" spans="1:16" s="97" customFormat="1" ht="15.5">
      <c r="A448" s="31" t="s">
        <v>19</v>
      </c>
      <c r="B448" s="31" t="s">
        <v>1255</v>
      </c>
      <c r="C448" s="65" t="s">
        <v>93</v>
      </c>
      <c r="D448" s="139">
        <v>425</v>
      </c>
      <c r="E448" s="137"/>
      <c r="F448" s="139"/>
      <c r="G448" s="139"/>
      <c r="H448" s="67">
        <f>+Table_1[[#This Row],[Column7]]+Table_1[[#This Row],[Column6]]+Table_1[[#This Row],[Column5]]+Table_1[[#This Row],[Column4]]</f>
        <v>425</v>
      </c>
      <c r="I448" s="38">
        <v>300</v>
      </c>
      <c r="J448" s="34">
        <f>+'PACC GENERAL 2026'!$H448*'PACC GENERAL 2026'!$I448</f>
        <v>127500</v>
      </c>
      <c r="K448" s="35"/>
      <c r="L448" s="31"/>
      <c r="M448" s="31"/>
      <c r="N448" s="31"/>
      <c r="O448" s="32" t="s">
        <v>1224</v>
      </c>
    </row>
    <row r="449" spans="1:16" s="97" customFormat="1" ht="15.5">
      <c r="A449" s="31" t="s">
        <v>19</v>
      </c>
      <c r="B449" s="31" t="s">
        <v>141</v>
      </c>
      <c r="C449" s="32" t="s">
        <v>94</v>
      </c>
      <c r="D449" s="133"/>
      <c r="E449" s="146"/>
      <c r="F449" s="133"/>
      <c r="G449" s="133"/>
      <c r="H449" s="67">
        <f>+Table_1[[#This Row],[Column7]]+Table_1[[#This Row],[Column6]]+Table_1[[#This Row],[Column5]]+Table_1[[#This Row],[Column4]]</f>
        <v>0</v>
      </c>
      <c r="I449" s="38">
        <v>260</v>
      </c>
      <c r="J449" s="17">
        <f>'PACC GENERAL 2026'!$I449*'PACC GENERAL 2026'!$H449</f>
        <v>0</v>
      </c>
      <c r="K449" s="186"/>
      <c r="L449" s="174"/>
      <c r="M449" s="174"/>
      <c r="N449" s="174"/>
      <c r="O449" s="276"/>
    </row>
    <row r="450" spans="1:16" ht="15.5">
      <c r="A450" s="9" t="s">
        <v>19</v>
      </c>
      <c r="B450" s="10"/>
      <c r="C450" s="11"/>
      <c r="D450" s="148"/>
      <c r="E450" s="148"/>
      <c r="F450" s="148"/>
      <c r="G450" s="152"/>
      <c r="H450" s="111"/>
      <c r="I450" s="44"/>
      <c r="J450" s="12"/>
      <c r="K450" s="13">
        <f>SUM(J438:J449)</f>
        <v>319250</v>
      </c>
      <c r="L450" s="10"/>
      <c r="M450" s="10"/>
      <c r="N450" s="10"/>
      <c r="O450" s="73"/>
    </row>
    <row r="451" spans="1:16" s="97" customFormat="1" ht="20.149999999999999" customHeight="1">
      <c r="A451" s="31" t="s">
        <v>20</v>
      </c>
      <c r="B451" s="31" t="s">
        <v>144</v>
      </c>
      <c r="C451" s="32" t="s">
        <v>94</v>
      </c>
      <c r="D451" s="133">
        <v>24</v>
      </c>
      <c r="E451" s="137"/>
      <c r="F451" s="139">
        <v>50</v>
      </c>
      <c r="G451" s="133"/>
      <c r="H451" s="67">
        <f>+Table_1[[#This Row],[Column7]]+Table_1[[#This Row],[Column6]]+Table_1[[#This Row],[Column5]]+Table_1[[#This Row],[Column4]]</f>
        <v>74</v>
      </c>
      <c r="I451" s="38">
        <v>63</v>
      </c>
      <c r="J451" s="34">
        <f>'PACC GENERAL 2026'!$I451*'PACC GENERAL 2026'!$H451</f>
        <v>4662</v>
      </c>
      <c r="K451" s="35"/>
      <c r="L451" s="31"/>
      <c r="M451" s="31"/>
      <c r="N451" s="31"/>
      <c r="O451" s="32" t="s">
        <v>1440</v>
      </c>
      <c r="P451" s="320"/>
    </row>
    <row r="452" spans="1:16" s="97" customFormat="1" ht="15.5">
      <c r="A452" s="31" t="s">
        <v>20</v>
      </c>
      <c r="B452" s="31" t="s">
        <v>142</v>
      </c>
      <c r="C452" s="32" t="s">
        <v>94</v>
      </c>
      <c r="D452" s="133">
        <v>36</v>
      </c>
      <c r="E452" s="137"/>
      <c r="F452" s="139">
        <v>96</v>
      </c>
      <c r="G452" s="133"/>
      <c r="H452" s="67">
        <f>+Table_1[[#This Row],[Column7]]+Table_1[[#This Row],[Column6]]+Table_1[[#This Row],[Column5]]+Table_1[[#This Row],[Column4]]</f>
        <v>132</v>
      </c>
      <c r="I452" s="38">
        <v>42</v>
      </c>
      <c r="J452" s="34">
        <f>'PACC GENERAL 2026'!$I452*'PACC GENERAL 2026'!$H452</f>
        <v>5544</v>
      </c>
      <c r="K452" s="35"/>
      <c r="L452" s="31"/>
      <c r="M452" s="31"/>
      <c r="N452" s="31"/>
      <c r="O452" s="32" t="s">
        <v>1440</v>
      </c>
      <c r="P452" s="320"/>
    </row>
    <row r="453" spans="1:16" s="97" customFormat="1" ht="31">
      <c r="A453" s="31" t="s">
        <v>20</v>
      </c>
      <c r="B453" s="31" t="s">
        <v>147</v>
      </c>
      <c r="C453" s="32" t="s">
        <v>143</v>
      </c>
      <c r="D453" s="133">
        <f>120+400+400</f>
        <v>920</v>
      </c>
      <c r="E453" s="137"/>
      <c r="F453" s="284">
        <f>300</f>
        <v>300</v>
      </c>
      <c r="G453" s="133"/>
      <c r="H453" s="67">
        <f>+Table_1[[#This Row],[Column7]]+Table_1[[#This Row],[Column6]]+Table_1[[#This Row],[Column5]]+Table_1[[#This Row],[Column4]]</f>
        <v>1220</v>
      </c>
      <c r="I453" s="38">
        <v>1450</v>
      </c>
      <c r="J453" s="34">
        <f>'PACC GENERAL 2026'!$I453*'PACC GENERAL 2026'!$H453</f>
        <v>1769000</v>
      </c>
      <c r="K453" s="35"/>
      <c r="L453" s="31"/>
      <c r="M453" s="31"/>
      <c r="N453" s="31"/>
      <c r="O453" s="32" t="s">
        <v>1480</v>
      </c>
      <c r="P453" s="320"/>
    </row>
    <row r="454" spans="1:16" ht="15.5">
      <c r="A454" s="9" t="s">
        <v>20</v>
      </c>
      <c r="B454" s="10"/>
      <c r="C454" s="11"/>
      <c r="D454" s="148"/>
      <c r="E454" s="148"/>
      <c r="F454" s="148"/>
      <c r="G454" s="152"/>
      <c r="H454" s="111"/>
      <c r="I454" s="44"/>
      <c r="J454" s="12"/>
      <c r="K454" s="13">
        <f>SUM(J451:J453)</f>
        <v>1779206</v>
      </c>
      <c r="L454" s="10"/>
      <c r="M454" s="10"/>
      <c r="N454" s="10"/>
      <c r="O454" s="73"/>
    </row>
    <row r="455" spans="1:16" s="97" customFormat="1" ht="15.5">
      <c r="A455" s="31" t="s">
        <v>638</v>
      </c>
      <c r="B455" s="31" t="s">
        <v>560</v>
      </c>
      <c r="C455" s="32" t="s">
        <v>406</v>
      </c>
      <c r="D455" s="133"/>
      <c r="E455" s="139"/>
      <c r="F455" s="133"/>
      <c r="G455" s="133"/>
      <c r="H455" s="67">
        <f>+Table_1[[#This Row],[Column7]]+Table_1[[#This Row],[Column6]]+Table_1[[#This Row],[Column5]]+Table_1[[#This Row],[Column4]]</f>
        <v>0</v>
      </c>
      <c r="I455" s="38">
        <v>2647.9199999999996</v>
      </c>
      <c r="J455" s="34">
        <f>'PACC GENERAL 2026'!$I455*'PACC GENERAL 2026'!$H455</f>
        <v>0</v>
      </c>
      <c r="K455" s="186"/>
      <c r="L455" s="179"/>
      <c r="M455" s="86"/>
      <c r="N455" s="86"/>
      <c r="O455" s="32"/>
      <c r="P455" s="320"/>
    </row>
    <row r="456" spans="1:16" ht="15.5">
      <c r="A456" s="9" t="s">
        <v>638</v>
      </c>
      <c r="B456" s="10"/>
      <c r="C456" s="11"/>
      <c r="D456" s="148"/>
      <c r="E456" s="148"/>
      <c r="F456" s="148"/>
      <c r="G456" s="152"/>
      <c r="H456" s="111"/>
      <c r="I456" s="44"/>
      <c r="J456" s="12"/>
      <c r="K456" s="13">
        <f>+J455</f>
        <v>0</v>
      </c>
      <c r="L456" s="73"/>
      <c r="M456" s="10"/>
      <c r="N456" s="10"/>
      <c r="O456" s="73"/>
      <c r="P456" s="321"/>
    </row>
    <row r="457" spans="1:16" s="97" customFormat="1" ht="15.5">
      <c r="A457" s="31" t="s">
        <v>548</v>
      </c>
      <c r="B457" s="31" t="s">
        <v>776</v>
      </c>
      <c r="C457" s="32" t="s">
        <v>94</v>
      </c>
      <c r="D457" s="182"/>
      <c r="E457" s="133"/>
      <c r="F457" s="133"/>
      <c r="G457" s="182"/>
      <c r="H457" s="67">
        <f>+Table_1[[#This Row],[Column7]]+Table_1[[#This Row],[Column6]]+Table_1[[#This Row],[Column5]]+Table_1[[#This Row],[Column4]]</f>
        <v>0</v>
      </c>
      <c r="I457" s="38">
        <v>200</v>
      </c>
      <c r="J457" s="34">
        <f>'PACC GENERAL 2026'!$I457*'PACC GENERAL 2026'!$H457</f>
        <v>0</v>
      </c>
      <c r="K457" s="186"/>
      <c r="L457" s="179"/>
      <c r="M457" s="207"/>
      <c r="N457" s="207"/>
      <c r="O457" s="179"/>
    </row>
    <row r="458" spans="1:16" s="97" customFormat="1" ht="15.5">
      <c r="A458" s="31" t="s">
        <v>548</v>
      </c>
      <c r="B458" s="31" t="s">
        <v>1691</v>
      </c>
      <c r="C458" s="65" t="s">
        <v>143</v>
      </c>
      <c r="D458" s="133"/>
      <c r="E458" s="153">
        <f>45+30+50</f>
        <v>125</v>
      </c>
      <c r="F458" s="133"/>
      <c r="G458" s="133"/>
      <c r="H458" s="67">
        <f>+Table_1[[#This Row],[Column7]]+Table_1[[#This Row],[Column6]]+Table_1[[#This Row],[Column5]]+Table_1[[#This Row],[Column4]]</f>
        <v>125</v>
      </c>
      <c r="I458" s="38">
        <v>12000</v>
      </c>
      <c r="J458" s="34">
        <f>'PACC GENERAL 2026'!$I458*'PACC GENERAL 2026'!$H458</f>
        <v>1500000</v>
      </c>
      <c r="K458" s="103"/>
      <c r="L458" s="63"/>
      <c r="M458" s="288"/>
      <c r="N458" s="288"/>
      <c r="O458" s="32" t="s">
        <v>1664</v>
      </c>
      <c r="P458" s="320"/>
    </row>
    <row r="459" spans="1:16" s="97" customFormat="1" ht="15.5">
      <c r="A459" s="48" t="s">
        <v>548</v>
      </c>
      <c r="B459" s="31" t="s">
        <v>549</v>
      </c>
      <c r="C459" s="63" t="s">
        <v>143</v>
      </c>
      <c r="D459" s="155">
        <v>5</v>
      </c>
      <c r="E459" s="137"/>
      <c r="F459" s="155"/>
      <c r="G459" s="155"/>
      <c r="H459" s="67">
        <f>+Table_1[[#This Row],[Column7]]+Table_1[[#This Row],[Column6]]+Table_1[[#This Row],[Column5]]+Table_1[[#This Row],[Column4]]</f>
        <v>5</v>
      </c>
      <c r="I459" s="38">
        <v>1170</v>
      </c>
      <c r="J459" s="34">
        <f>'PACC GENERAL 2026'!$I459*'PACC GENERAL 2026'!$H459</f>
        <v>5850</v>
      </c>
      <c r="K459" s="103"/>
      <c r="L459" s="63"/>
      <c r="M459" s="288"/>
      <c r="N459" s="288"/>
      <c r="O459" s="32" t="s">
        <v>1312</v>
      </c>
      <c r="P459" s="320"/>
    </row>
    <row r="460" spans="1:16" s="97" customFormat="1" ht="15.5">
      <c r="A460" s="31" t="s">
        <v>548</v>
      </c>
      <c r="B460" s="31" t="s">
        <v>749</v>
      </c>
      <c r="C460" s="65" t="s">
        <v>143</v>
      </c>
      <c r="D460" s="133"/>
      <c r="E460" s="153">
        <f>145+60+50</f>
        <v>255</v>
      </c>
      <c r="F460" s="133"/>
      <c r="G460" s="133"/>
      <c r="H460" s="67">
        <f>+Table_1[[#This Row],[Column7]]+Table_1[[#This Row],[Column6]]+Table_1[[#This Row],[Column5]]+Table_1[[#This Row],[Column4]]</f>
        <v>255</v>
      </c>
      <c r="I460" s="38">
        <v>12000</v>
      </c>
      <c r="J460" s="34">
        <f>'PACC GENERAL 2026'!$I460*'PACC GENERAL 2026'!$H460</f>
        <v>3060000</v>
      </c>
      <c r="K460" s="103"/>
      <c r="L460" s="63"/>
      <c r="M460" s="288"/>
      <c r="N460" s="288"/>
      <c r="O460" s="32" t="s">
        <v>1664</v>
      </c>
      <c r="P460" s="320"/>
    </row>
    <row r="461" spans="1:16" s="97" customFormat="1" ht="15.5">
      <c r="A461" s="31" t="s">
        <v>548</v>
      </c>
      <c r="B461" s="31" t="s">
        <v>747</v>
      </c>
      <c r="C461" s="65" t="s">
        <v>143</v>
      </c>
      <c r="D461" s="133"/>
      <c r="E461" s="153">
        <f>30+15+50</f>
        <v>95</v>
      </c>
      <c r="F461" s="133"/>
      <c r="G461" s="133"/>
      <c r="H461" s="67">
        <f>+Table_1[[#This Row],[Column7]]+Table_1[[#This Row],[Column6]]+Table_1[[#This Row],[Column5]]+Table_1[[#This Row],[Column4]]</f>
        <v>95</v>
      </c>
      <c r="I461" s="38">
        <v>12000</v>
      </c>
      <c r="J461" s="34">
        <f>'PACC GENERAL 2026'!$I461*'PACC GENERAL 2026'!$H461</f>
        <v>1140000</v>
      </c>
      <c r="K461" s="103"/>
      <c r="L461" s="63"/>
      <c r="M461" s="288"/>
      <c r="N461" s="288"/>
      <c r="O461" s="32" t="s">
        <v>1664</v>
      </c>
      <c r="P461" s="320"/>
    </row>
    <row r="462" spans="1:16" s="97" customFormat="1" ht="15.5">
      <c r="A462" s="48" t="s">
        <v>548</v>
      </c>
      <c r="B462" s="31" t="s">
        <v>746</v>
      </c>
      <c r="C462" s="63" t="s">
        <v>143</v>
      </c>
      <c r="D462" s="155">
        <v>5</v>
      </c>
      <c r="E462" s="153">
        <v>50</v>
      </c>
      <c r="F462" s="155"/>
      <c r="G462" s="155"/>
      <c r="H462" s="67">
        <f>+Table_1[[#This Row],[Column7]]+Table_1[[#This Row],[Column6]]+Table_1[[#This Row],[Column5]]+Table_1[[#This Row],[Column4]]</f>
        <v>55</v>
      </c>
      <c r="I462" s="38">
        <v>12000</v>
      </c>
      <c r="J462" s="34">
        <f>'PACC GENERAL 2026'!$I462*'PACC GENERAL 2026'!$H462</f>
        <v>660000</v>
      </c>
      <c r="K462" s="103"/>
      <c r="L462" s="63"/>
      <c r="M462" s="288"/>
      <c r="N462" s="288"/>
      <c r="O462" s="32" t="s">
        <v>1666</v>
      </c>
      <c r="P462" s="320"/>
    </row>
    <row r="463" spans="1:16" s="97" customFormat="1" ht="15.5">
      <c r="A463" s="31" t="s">
        <v>548</v>
      </c>
      <c r="B463" s="31" t="s">
        <v>748</v>
      </c>
      <c r="C463" s="65" t="s">
        <v>143</v>
      </c>
      <c r="D463" s="133"/>
      <c r="E463" s="153">
        <f>10+10+10</f>
        <v>30</v>
      </c>
      <c r="F463" s="133"/>
      <c r="G463" s="133"/>
      <c r="H463" s="67">
        <f>+Table_1[[#This Row],[Column7]]+Table_1[[#This Row],[Column6]]+Table_1[[#This Row],[Column5]]+Table_1[[#This Row],[Column4]]</f>
        <v>30</v>
      </c>
      <c r="I463" s="38">
        <v>12000</v>
      </c>
      <c r="J463" s="34">
        <f>'PACC GENERAL 2026'!$I463*'PACC GENERAL 2026'!$H463</f>
        <v>360000</v>
      </c>
      <c r="K463" s="103"/>
      <c r="L463" s="63"/>
      <c r="M463" s="288"/>
      <c r="N463" s="288"/>
      <c r="O463" s="32" t="s">
        <v>1665</v>
      </c>
      <c r="P463" s="320"/>
    </row>
    <row r="464" spans="1:16" s="97" customFormat="1" ht="15.5">
      <c r="A464" s="48" t="s">
        <v>548</v>
      </c>
      <c r="B464" s="31" t="s">
        <v>1256</v>
      </c>
      <c r="C464" s="63" t="s">
        <v>93</v>
      </c>
      <c r="D464" s="133"/>
      <c r="E464" s="153">
        <f>50+50</f>
        <v>100</v>
      </c>
      <c r="F464" s="155"/>
      <c r="G464" s="155"/>
      <c r="H464" s="67">
        <f>+Table_1[[#This Row],[Column7]]+Table_1[[#This Row],[Column6]]+Table_1[[#This Row],[Column5]]+Table_1[[#This Row],[Column4]]</f>
        <v>100</v>
      </c>
      <c r="I464" s="38">
        <v>535</v>
      </c>
      <c r="J464" s="34">
        <f>'PACC GENERAL 2026'!$I464*'PACC GENERAL 2026'!$H464</f>
        <v>53500</v>
      </c>
      <c r="K464" s="103"/>
      <c r="L464" s="63"/>
      <c r="M464" s="288"/>
      <c r="N464" s="288"/>
      <c r="O464" s="32" t="s">
        <v>1224</v>
      </c>
      <c r="P464" s="320"/>
    </row>
    <row r="465" spans="1:16" s="97" customFormat="1" ht="15.5">
      <c r="A465" s="31" t="s">
        <v>548</v>
      </c>
      <c r="B465" s="31" t="s">
        <v>1129</v>
      </c>
      <c r="C465" s="32" t="s">
        <v>1130</v>
      </c>
      <c r="D465" s="155"/>
      <c r="E465" s="133">
        <v>5</v>
      </c>
      <c r="F465" s="133"/>
      <c r="G465" s="155"/>
      <c r="H465" s="67">
        <f>+Table_1[[#This Row],[Column7]]+Table_1[[#This Row],[Column6]]+Table_1[[#This Row],[Column5]]+Table_1[[#This Row],[Column4]]</f>
        <v>5</v>
      </c>
      <c r="I465" s="38">
        <v>10000</v>
      </c>
      <c r="J465" s="34">
        <f>'PACC GENERAL 2026'!$I465*'PACC GENERAL 2026'!$H465</f>
        <v>50000</v>
      </c>
      <c r="K465" s="103"/>
      <c r="L465" s="63"/>
      <c r="M465" s="288"/>
      <c r="N465" s="288"/>
      <c r="O465" s="179" t="s">
        <v>434</v>
      </c>
      <c r="P465" s="320"/>
    </row>
    <row r="466" spans="1:16" s="97" customFormat="1" ht="15.5">
      <c r="A466" s="31" t="s">
        <v>548</v>
      </c>
      <c r="B466" s="31" t="s">
        <v>1131</v>
      </c>
      <c r="C466" s="32" t="s">
        <v>1130</v>
      </c>
      <c r="D466" s="155"/>
      <c r="E466" s="133">
        <v>30</v>
      </c>
      <c r="F466" s="133"/>
      <c r="G466" s="155"/>
      <c r="H466" s="67">
        <f>+Table_1[[#This Row],[Column7]]+Table_1[[#This Row],[Column6]]+Table_1[[#This Row],[Column5]]+Table_1[[#This Row],[Column4]]</f>
        <v>30</v>
      </c>
      <c r="I466" s="38">
        <v>11000</v>
      </c>
      <c r="J466" s="34">
        <f>'PACC GENERAL 2026'!$I466*'PACC GENERAL 2026'!$H466</f>
        <v>330000</v>
      </c>
      <c r="K466" s="103"/>
      <c r="L466" s="63"/>
      <c r="M466" s="288"/>
      <c r="N466" s="288"/>
      <c r="O466" s="179" t="s">
        <v>434</v>
      </c>
      <c r="P466" s="320"/>
    </row>
    <row r="467" spans="1:16" s="97" customFormat="1" ht="15.5">
      <c r="A467" s="31" t="s">
        <v>548</v>
      </c>
      <c r="B467" s="31" t="s">
        <v>1132</v>
      </c>
      <c r="C467" s="32" t="s">
        <v>1130</v>
      </c>
      <c r="D467" s="155"/>
      <c r="E467" s="133">
        <v>20</v>
      </c>
      <c r="F467" s="133"/>
      <c r="G467" s="155"/>
      <c r="H467" s="67">
        <f>+Table_1[[#This Row],[Column7]]+Table_1[[#This Row],[Column6]]+Table_1[[#This Row],[Column5]]+Table_1[[#This Row],[Column4]]</f>
        <v>20</v>
      </c>
      <c r="I467" s="38">
        <v>5241.53</v>
      </c>
      <c r="J467" s="34">
        <f>'PACC GENERAL 2026'!$I467*'PACC GENERAL 2026'!$H467</f>
        <v>104830.59999999999</v>
      </c>
      <c r="K467" s="103"/>
      <c r="L467" s="63"/>
      <c r="M467" s="288"/>
      <c r="N467" s="288"/>
      <c r="O467" s="179" t="s">
        <v>434</v>
      </c>
      <c r="P467" s="320"/>
    </row>
    <row r="468" spans="1:16" s="97" customFormat="1" ht="15.5">
      <c r="A468" s="31" t="s">
        <v>548</v>
      </c>
      <c r="B468" s="31" t="s">
        <v>1133</v>
      </c>
      <c r="C468" s="32" t="s">
        <v>1134</v>
      </c>
      <c r="D468" s="155"/>
      <c r="E468" s="133">
        <v>40</v>
      </c>
      <c r="F468" s="133"/>
      <c r="G468" s="155"/>
      <c r="H468" s="67">
        <f>+Table_1[[#This Row],[Column7]]+Table_1[[#This Row],[Column6]]+Table_1[[#This Row],[Column5]]+Table_1[[#This Row],[Column4]]</f>
        <v>40</v>
      </c>
      <c r="I468" s="38">
        <v>725</v>
      </c>
      <c r="J468" s="34">
        <f>'PACC GENERAL 2026'!$I468*'PACC GENERAL 2026'!$H468</f>
        <v>29000</v>
      </c>
      <c r="K468" s="103"/>
      <c r="L468" s="63"/>
      <c r="M468" s="288"/>
      <c r="N468" s="288"/>
      <c r="O468" s="179" t="s">
        <v>434</v>
      </c>
      <c r="P468" s="320"/>
    </row>
    <row r="469" spans="1:16" s="97" customFormat="1" ht="15.5">
      <c r="A469" s="31" t="s">
        <v>548</v>
      </c>
      <c r="B469" s="31" t="s">
        <v>1135</v>
      </c>
      <c r="C469" s="32" t="s">
        <v>1134</v>
      </c>
      <c r="D469" s="155"/>
      <c r="E469" s="133">
        <v>30</v>
      </c>
      <c r="F469" s="133"/>
      <c r="G469" s="155"/>
      <c r="H469" s="67">
        <f>+Table_1[[#This Row],[Column7]]+Table_1[[#This Row],[Column6]]+Table_1[[#This Row],[Column5]]+Table_1[[#This Row],[Column4]]</f>
        <v>30</v>
      </c>
      <c r="I469" s="38">
        <v>275</v>
      </c>
      <c r="J469" s="34">
        <f>'PACC GENERAL 2026'!$I469*'PACC GENERAL 2026'!$H469</f>
        <v>8250</v>
      </c>
      <c r="K469" s="103"/>
      <c r="L469" s="63"/>
      <c r="M469" s="288"/>
      <c r="N469" s="288"/>
      <c r="O469" s="179" t="s">
        <v>434</v>
      </c>
      <c r="P469" s="320"/>
    </row>
    <row r="470" spans="1:16" s="97" customFormat="1" ht="15.5">
      <c r="A470" s="31" t="s">
        <v>548</v>
      </c>
      <c r="B470" s="31" t="s">
        <v>1136</v>
      </c>
      <c r="C470" s="32" t="s">
        <v>1134</v>
      </c>
      <c r="D470" s="155"/>
      <c r="E470" s="133">
        <v>25</v>
      </c>
      <c r="F470" s="133"/>
      <c r="G470" s="155"/>
      <c r="H470" s="67">
        <f>+Table_1[[#This Row],[Column7]]+Table_1[[#This Row],[Column6]]+Table_1[[#This Row],[Column5]]+Table_1[[#This Row],[Column4]]</f>
        <v>25</v>
      </c>
      <c r="I470" s="38">
        <v>275</v>
      </c>
      <c r="J470" s="34">
        <f>'PACC GENERAL 2026'!$I470*'PACC GENERAL 2026'!$H470</f>
        <v>6875</v>
      </c>
      <c r="K470" s="103"/>
      <c r="L470" s="63"/>
      <c r="M470" s="288"/>
      <c r="N470" s="288"/>
      <c r="O470" s="179" t="s">
        <v>434</v>
      </c>
      <c r="P470" s="320"/>
    </row>
    <row r="471" spans="1:16" s="97" customFormat="1" ht="15.5">
      <c r="A471" s="31" t="s">
        <v>548</v>
      </c>
      <c r="B471" s="31" t="s">
        <v>1137</v>
      </c>
      <c r="C471" s="32" t="s">
        <v>1134</v>
      </c>
      <c r="D471" s="155"/>
      <c r="E471" s="133">
        <v>25</v>
      </c>
      <c r="F471" s="133"/>
      <c r="G471" s="155"/>
      <c r="H471" s="67">
        <f>+Table_1[[#This Row],[Column7]]+Table_1[[#This Row],[Column6]]+Table_1[[#This Row],[Column5]]+Table_1[[#This Row],[Column4]]</f>
        <v>25</v>
      </c>
      <c r="I471" s="38">
        <v>800</v>
      </c>
      <c r="J471" s="34">
        <f>'PACC GENERAL 2026'!$I471*'PACC GENERAL 2026'!$H471</f>
        <v>20000</v>
      </c>
      <c r="K471" s="103"/>
      <c r="L471" s="63"/>
      <c r="M471" s="288"/>
      <c r="N471" s="288"/>
      <c r="O471" s="179" t="s">
        <v>434</v>
      </c>
      <c r="P471" s="320"/>
    </row>
    <row r="472" spans="1:16" s="97" customFormat="1" ht="15.5">
      <c r="A472" s="31" t="s">
        <v>548</v>
      </c>
      <c r="B472" s="31" t="s">
        <v>1138</v>
      </c>
      <c r="C472" s="32" t="s">
        <v>1134</v>
      </c>
      <c r="D472" s="155"/>
      <c r="E472" s="133">
        <v>25</v>
      </c>
      <c r="F472" s="133"/>
      <c r="G472" s="155"/>
      <c r="H472" s="67">
        <f>+Table_1[[#This Row],[Column7]]+Table_1[[#This Row],[Column6]]+Table_1[[#This Row],[Column5]]+Table_1[[#This Row],[Column4]]</f>
        <v>25</v>
      </c>
      <c r="I472" s="38">
        <v>800</v>
      </c>
      <c r="J472" s="34">
        <f>'PACC GENERAL 2026'!$I472*'PACC GENERAL 2026'!$H472</f>
        <v>20000</v>
      </c>
      <c r="K472" s="103"/>
      <c r="L472" s="63"/>
      <c r="M472" s="288"/>
      <c r="N472" s="288"/>
      <c r="O472" s="179" t="s">
        <v>434</v>
      </c>
      <c r="P472" s="320"/>
    </row>
    <row r="473" spans="1:16" s="97" customFormat="1" ht="15.5">
      <c r="A473" s="31" t="s">
        <v>548</v>
      </c>
      <c r="B473" s="31" t="s">
        <v>1139</v>
      </c>
      <c r="C473" s="32" t="s">
        <v>737</v>
      </c>
      <c r="D473" s="155"/>
      <c r="E473" s="133">
        <v>50</v>
      </c>
      <c r="F473" s="133"/>
      <c r="G473" s="155"/>
      <c r="H473" s="67">
        <f>+Table_1[[#This Row],[Column7]]+Table_1[[#This Row],[Column6]]+Table_1[[#This Row],[Column5]]+Table_1[[#This Row],[Column4]]</f>
        <v>50</v>
      </c>
      <c r="I473" s="38">
        <v>800</v>
      </c>
      <c r="J473" s="34">
        <f>'PACC GENERAL 2026'!$I473*'PACC GENERAL 2026'!$H473</f>
        <v>40000</v>
      </c>
      <c r="K473" s="103"/>
      <c r="L473" s="63"/>
      <c r="M473" s="288"/>
      <c r="N473" s="288"/>
      <c r="O473" s="179" t="s">
        <v>434</v>
      </c>
      <c r="P473" s="320"/>
    </row>
    <row r="474" spans="1:16" s="97" customFormat="1" ht="15.5">
      <c r="A474" s="31" t="s">
        <v>548</v>
      </c>
      <c r="B474" s="31" t="s">
        <v>1140</v>
      </c>
      <c r="C474" s="32" t="s">
        <v>737</v>
      </c>
      <c r="D474" s="155"/>
      <c r="E474" s="133">
        <v>25</v>
      </c>
      <c r="F474" s="133"/>
      <c r="G474" s="155"/>
      <c r="H474" s="67">
        <f>+Table_1[[#This Row],[Column7]]+Table_1[[#This Row],[Column6]]+Table_1[[#This Row],[Column5]]+Table_1[[#This Row],[Column4]]</f>
        <v>25</v>
      </c>
      <c r="I474" s="38">
        <v>2250</v>
      </c>
      <c r="J474" s="34">
        <f>'PACC GENERAL 2026'!$I474*'PACC GENERAL 2026'!$H474</f>
        <v>56250</v>
      </c>
      <c r="K474" s="103"/>
      <c r="L474" s="63"/>
      <c r="M474" s="288"/>
      <c r="N474" s="288"/>
      <c r="O474" s="179" t="s">
        <v>434</v>
      </c>
      <c r="P474" s="320"/>
    </row>
    <row r="475" spans="1:16" s="97" customFormat="1" ht="15.5">
      <c r="A475" s="31" t="s">
        <v>548</v>
      </c>
      <c r="B475" s="31" t="s">
        <v>1141</v>
      </c>
      <c r="C475" s="32" t="s">
        <v>737</v>
      </c>
      <c r="D475" s="155"/>
      <c r="E475" s="133">
        <v>25</v>
      </c>
      <c r="F475" s="133"/>
      <c r="G475" s="155"/>
      <c r="H475" s="67">
        <f>+Table_1[[#This Row],[Column7]]+Table_1[[#This Row],[Column6]]+Table_1[[#This Row],[Column5]]+Table_1[[#This Row],[Column4]]</f>
        <v>25</v>
      </c>
      <c r="I475" s="38">
        <v>1800</v>
      </c>
      <c r="J475" s="34">
        <f>'PACC GENERAL 2026'!$I475*'PACC GENERAL 2026'!$H475</f>
        <v>45000</v>
      </c>
      <c r="K475" s="103"/>
      <c r="L475" s="63"/>
      <c r="M475" s="288"/>
      <c r="N475" s="288"/>
      <c r="O475" s="179" t="s">
        <v>434</v>
      </c>
      <c r="P475" s="320"/>
    </row>
    <row r="476" spans="1:16" s="97" customFormat="1" ht="15.5">
      <c r="A476" s="31" t="s">
        <v>548</v>
      </c>
      <c r="B476" s="31" t="s">
        <v>1142</v>
      </c>
      <c r="C476" s="32" t="s">
        <v>737</v>
      </c>
      <c r="D476" s="155"/>
      <c r="E476" s="133">
        <v>25</v>
      </c>
      <c r="F476" s="133"/>
      <c r="G476" s="155"/>
      <c r="H476" s="67">
        <f>+Table_1[[#This Row],[Column7]]+Table_1[[#This Row],[Column6]]+Table_1[[#This Row],[Column5]]+Table_1[[#This Row],[Column4]]</f>
        <v>25</v>
      </c>
      <c r="I476" s="38">
        <v>1800</v>
      </c>
      <c r="J476" s="34">
        <f>'PACC GENERAL 2026'!$I476*'PACC GENERAL 2026'!$H476</f>
        <v>45000</v>
      </c>
      <c r="K476" s="103"/>
      <c r="L476" s="63"/>
      <c r="M476" s="288"/>
      <c r="N476" s="288"/>
      <c r="O476" s="179" t="s">
        <v>434</v>
      </c>
      <c r="P476" s="320"/>
    </row>
    <row r="477" spans="1:16" s="97" customFormat="1" ht="15.5">
      <c r="A477" s="31" t="s">
        <v>548</v>
      </c>
      <c r="B477" s="31" t="s">
        <v>864</v>
      </c>
      <c r="C477" s="32" t="s">
        <v>143</v>
      </c>
      <c r="D477" s="182"/>
      <c r="E477" s="197">
        <v>20</v>
      </c>
      <c r="F477" s="182"/>
      <c r="G477" s="182"/>
      <c r="H477" s="67">
        <f>+Table_1[[#This Row],[Column7]]+Table_1[[#This Row],[Column6]]+Table_1[[#This Row],[Column5]]+Table_1[[#This Row],[Column4]]</f>
        <v>20</v>
      </c>
      <c r="I477" s="38">
        <v>15000</v>
      </c>
      <c r="J477" s="34">
        <f>'PACC GENERAL 2026'!$I477*'PACC GENERAL 2026'!$H477</f>
        <v>300000</v>
      </c>
      <c r="K477" s="103"/>
      <c r="L477" s="86"/>
      <c r="M477" s="86"/>
      <c r="N477" s="86"/>
      <c r="O477" s="179" t="s">
        <v>434</v>
      </c>
      <c r="P477" s="320"/>
    </row>
    <row r="478" spans="1:16" s="97" customFormat="1" ht="15.5">
      <c r="A478" s="31" t="s">
        <v>548</v>
      </c>
      <c r="B478" s="174" t="s">
        <v>729</v>
      </c>
      <c r="C478" s="178" t="s">
        <v>737</v>
      </c>
      <c r="D478" s="182"/>
      <c r="E478" s="197">
        <v>20</v>
      </c>
      <c r="F478" s="182"/>
      <c r="G478" s="182"/>
      <c r="H478" s="67">
        <f>+Table_1[[#This Row],[Column7]]+Table_1[[#This Row],[Column6]]+Table_1[[#This Row],[Column5]]+Table_1[[#This Row],[Column4]]</f>
        <v>20</v>
      </c>
      <c r="I478" s="177">
        <v>1500</v>
      </c>
      <c r="J478" s="34">
        <f>'PACC GENERAL 2026'!$I478*'PACC GENERAL 2026'!$H478</f>
        <v>30000</v>
      </c>
      <c r="K478" s="103"/>
      <c r="L478" s="86"/>
      <c r="M478" s="86"/>
      <c r="N478" s="86"/>
      <c r="O478" s="179" t="s">
        <v>434</v>
      </c>
      <c r="P478" s="320"/>
    </row>
    <row r="479" spans="1:16" s="97" customFormat="1" ht="15.5">
      <c r="A479" s="31" t="s">
        <v>548</v>
      </c>
      <c r="B479" s="31" t="s">
        <v>730</v>
      </c>
      <c r="C479" s="65" t="s">
        <v>737</v>
      </c>
      <c r="D479" s="133"/>
      <c r="E479" s="153">
        <v>20</v>
      </c>
      <c r="F479" s="133"/>
      <c r="G479" s="133"/>
      <c r="H479" s="67">
        <f>+Table_1[[#This Row],[Column7]]+Table_1[[#This Row],[Column6]]+Table_1[[#This Row],[Column5]]+Table_1[[#This Row],[Column4]]</f>
        <v>20</v>
      </c>
      <c r="I479" s="38">
        <v>1200</v>
      </c>
      <c r="J479" s="34">
        <f>'PACC GENERAL 2026'!$I479*'PACC GENERAL 2026'!$H479</f>
        <v>24000</v>
      </c>
      <c r="K479" s="103"/>
      <c r="L479" s="86"/>
      <c r="M479" s="86"/>
      <c r="N479" s="86"/>
      <c r="O479" s="179" t="s">
        <v>434</v>
      </c>
      <c r="P479" s="320"/>
    </row>
    <row r="480" spans="1:16" s="97" customFormat="1" ht="15.5">
      <c r="A480" s="31" t="s">
        <v>548</v>
      </c>
      <c r="B480" s="31" t="s">
        <v>731</v>
      </c>
      <c r="C480" s="65" t="s">
        <v>737</v>
      </c>
      <c r="D480" s="133"/>
      <c r="E480" s="153">
        <v>10</v>
      </c>
      <c r="F480" s="133"/>
      <c r="G480" s="133"/>
      <c r="H480" s="67">
        <f>+Table_1[[#This Row],[Column7]]+Table_1[[#This Row],[Column6]]+Table_1[[#This Row],[Column5]]+Table_1[[#This Row],[Column4]]</f>
        <v>10</v>
      </c>
      <c r="I480" s="38">
        <v>2000</v>
      </c>
      <c r="J480" s="34">
        <f>'PACC GENERAL 2026'!$I480*'PACC GENERAL 2026'!$H480</f>
        <v>20000</v>
      </c>
      <c r="K480" s="103"/>
      <c r="L480" s="86"/>
      <c r="M480" s="86"/>
      <c r="N480" s="86"/>
      <c r="O480" s="179" t="s">
        <v>434</v>
      </c>
      <c r="P480" s="320"/>
    </row>
    <row r="481" spans="1:16" s="97" customFormat="1" ht="15.5">
      <c r="A481" s="31" t="s">
        <v>548</v>
      </c>
      <c r="B481" s="31" t="s">
        <v>732</v>
      </c>
      <c r="C481" s="65" t="s">
        <v>737</v>
      </c>
      <c r="D481" s="133"/>
      <c r="E481" s="153">
        <v>10</v>
      </c>
      <c r="F481" s="133"/>
      <c r="G481" s="133"/>
      <c r="H481" s="67">
        <f>+Table_1[[#This Row],[Column7]]+Table_1[[#This Row],[Column6]]+Table_1[[#This Row],[Column5]]+Table_1[[#This Row],[Column4]]</f>
        <v>10</v>
      </c>
      <c r="I481" s="38">
        <v>2500</v>
      </c>
      <c r="J481" s="34">
        <f>'PACC GENERAL 2026'!$I481*'PACC GENERAL 2026'!$H481</f>
        <v>25000</v>
      </c>
      <c r="K481" s="103"/>
      <c r="L481" s="86"/>
      <c r="M481" s="86"/>
      <c r="N481" s="86"/>
      <c r="O481" s="179" t="s">
        <v>434</v>
      </c>
      <c r="P481" s="320"/>
    </row>
    <row r="482" spans="1:16" s="97" customFormat="1" ht="15.5">
      <c r="A482" s="31" t="s">
        <v>548</v>
      </c>
      <c r="B482" s="31" t="s">
        <v>733</v>
      </c>
      <c r="C482" s="65" t="s">
        <v>737</v>
      </c>
      <c r="D482" s="133"/>
      <c r="E482" s="153">
        <v>75</v>
      </c>
      <c r="F482" s="133"/>
      <c r="G482" s="133"/>
      <c r="H482" s="67">
        <f>+Table_1[[#This Row],[Column7]]+Table_1[[#This Row],[Column6]]+Table_1[[#This Row],[Column5]]+Table_1[[#This Row],[Column4]]</f>
        <v>75</v>
      </c>
      <c r="I482" s="38">
        <v>1995</v>
      </c>
      <c r="J482" s="34">
        <f>'PACC GENERAL 2026'!$I482*'PACC GENERAL 2026'!$H482</f>
        <v>149625</v>
      </c>
      <c r="K482" s="103"/>
      <c r="L482" s="86"/>
      <c r="M482" s="86"/>
      <c r="N482" s="86"/>
      <c r="O482" s="179" t="s">
        <v>434</v>
      </c>
      <c r="P482" s="320"/>
    </row>
    <row r="483" spans="1:16" s="97" customFormat="1" ht="15.5">
      <c r="A483" s="31" t="s">
        <v>548</v>
      </c>
      <c r="B483" s="31" t="s">
        <v>734</v>
      </c>
      <c r="C483" s="65" t="s">
        <v>737</v>
      </c>
      <c r="D483" s="133"/>
      <c r="E483" s="153">
        <v>10</v>
      </c>
      <c r="F483" s="133"/>
      <c r="G483" s="133"/>
      <c r="H483" s="67">
        <f>+Table_1[[#This Row],[Column7]]+Table_1[[#This Row],[Column6]]+Table_1[[#This Row],[Column5]]+Table_1[[#This Row],[Column4]]</f>
        <v>10</v>
      </c>
      <c r="I483" s="38">
        <v>2000</v>
      </c>
      <c r="J483" s="34">
        <f>'PACC GENERAL 2026'!$I483*'PACC GENERAL 2026'!$H483</f>
        <v>20000</v>
      </c>
      <c r="K483" s="103"/>
      <c r="L483" s="86"/>
      <c r="M483" s="86"/>
      <c r="N483" s="86"/>
      <c r="O483" s="179" t="s">
        <v>434</v>
      </c>
      <c r="P483" s="320"/>
    </row>
    <row r="484" spans="1:16" s="97" customFormat="1" ht="15.5">
      <c r="A484" s="174" t="s">
        <v>548</v>
      </c>
      <c r="B484" s="174" t="s">
        <v>735</v>
      </c>
      <c r="C484" s="178" t="s">
        <v>737</v>
      </c>
      <c r="D484" s="182"/>
      <c r="E484" s="197">
        <v>50</v>
      </c>
      <c r="F484" s="182"/>
      <c r="G484" s="182"/>
      <c r="H484" s="67">
        <f>+Table_1[[#This Row],[Column7]]+Table_1[[#This Row],[Column6]]+Table_1[[#This Row],[Column5]]+Table_1[[#This Row],[Column4]]</f>
        <v>50</v>
      </c>
      <c r="I484" s="177">
        <v>1200</v>
      </c>
      <c r="J484" s="34">
        <f>'PACC GENERAL 2026'!$I484*'PACC GENERAL 2026'!$H484</f>
        <v>60000</v>
      </c>
      <c r="K484" s="103"/>
      <c r="L484" s="86"/>
      <c r="M484" s="86"/>
      <c r="N484" s="86"/>
      <c r="O484" s="179" t="s">
        <v>434</v>
      </c>
      <c r="P484" s="320"/>
    </row>
    <row r="485" spans="1:16" s="97" customFormat="1" ht="15.5">
      <c r="A485" s="48" t="s">
        <v>548</v>
      </c>
      <c r="B485" s="31" t="s">
        <v>736</v>
      </c>
      <c r="C485" s="88" t="s">
        <v>737</v>
      </c>
      <c r="D485" s="133"/>
      <c r="E485" s="153">
        <f>80+100</f>
        <v>180</v>
      </c>
      <c r="F485" s="155"/>
      <c r="G485" s="155"/>
      <c r="H485" s="67">
        <f>+Table_1[[#This Row],[Column7]]+Table_1[[#This Row],[Column6]]+Table_1[[#This Row],[Column5]]+Table_1[[#This Row],[Column4]]</f>
        <v>180</v>
      </c>
      <c r="I485" s="38">
        <v>600</v>
      </c>
      <c r="J485" s="34">
        <f>'PACC GENERAL 2026'!$I485*'PACC GENERAL 2026'!$H485</f>
        <v>108000</v>
      </c>
      <c r="K485" s="103"/>
      <c r="L485" s="63"/>
      <c r="M485" s="288"/>
      <c r="N485" s="288"/>
      <c r="O485" s="32" t="s">
        <v>1667</v>
      </c>
      <c r="P485" s="320"/>
    </row>
    <row r="486" spans="1:16" ht="15.5">
      <c r="A486" s="9" t="s">
        <v>548</v>
      </c>
      <c r="B486" s="10"/>
      <c r="C486" s="11"/>
      <c r="D486" s="148"/>
      <c r="E486" s="148"/>
      <c r="F486" s="148"/>
      <c r="G486" s="152"/>
      <c r="H486" s="111"/>
      <c r="I486" s="44"/>
      <c r="J486" s="12"/>
      <c r="K486" s="13">
        <f>SUM(J457:J485)</f>
        <v>8271180.5999999996</v>
      </c>
      <c r="L486" s="10"/>
      <c r="M486" s="10"/>
      <c r="N486" s="10"/>
      <c r="O486" s="73"/>
      <c r="P486" s="321"/>
    </row>
    <row r="487" spans="1:16" s="97" customFormat="1" ht="15.5">
      <c r="A487" s="31" t="s">
        <v>550</v>
      </c>
      <c r="B487" s="31" t="s">
        <v>1143</v>
      </c>
      <c r="C487" s="32" t="s">
        <v>133</v>
      </c>
      <c r="D487" s="133"/>
      <c r="E487" s="153">
        <v>30</v>
      </c>
      <c r="F487" s="133"/>
      <c r="G487" s="133"/>
      <c r="H487" s="67">
        <f>+Table_1[[#This Row],[Column7]]+Table_1[[#This Row],[Column6]]+Table_1[[#This Row],[Column5]]+Table_1[[#This Row],[Column4]]</f>
        <v>30</v>
      </c>
      <c r="I487" s="38">
        <v>182</v>
      </c>
      <c r="J487" s="34">
        <f>'PACC GENERAL 2026'!$I487*'PACC GENERAL 2026'!$H487</f>
        <v>5460</v>
      </c>
      <c r="K487" s="35"/>
      <c r="L487" s="31"/>
      <c r="M487" s="86"/>
      <c r="N487" s="86"/>
      <c r="O487" s="63" t="s">
        <v>434</v>
      </c>
      <c r="P487" s="320"/>
    </row>
    <row r="488" spans="1:16" s="287" customFormat="1" ht="15.5">
      <c r="A488" s="36" t="s">
        <v>550</v>
      </c>
      <c r="B488" s="36" t="s">
        <v>551</v>
      </c>
      <c r="C488" s="37" t="s">
        <v>133</v>
      </c>
      <c r="D488" s="380">
        <v>8</v>
      </c>
      <c r="E488" s="380">
        <v>40</v>
      </c>
      <c r="F488" s="138"/>
      <c r="G488" s="138"/>
      <c r="H488" s="110">
        <f>+Table_1[[#This Row],[Column7]]+Table_1[[#This Row],[Column6]]+Table_1[[#This Row],[Column5]]+Table_1[[#This Row],[Column4]]</f>
        <v>48</v>
      </c>
      <c r="I488" s="38">
        <v>136</v>
      </c>
      <c r="J488" s="39">
        <f>'PACC GENERAL 2026'!$I488*'PACC GENERAL 2026'!$H488</f>
        <v>6528</v>
      </c>
      <c r="K488" s="40"/>
      <c r="L488" s="36"/>
      <c r="M488" s="77"/>
      <c r="N488" s="77"/>
      <c r="O488" s="123" t="s">
        <v>1666</v>
      </c>
      <c r="P488" s="323"/>
    </row>
    <row r="489" spans="1:16" s="287" customFormat="1" ht="15.5">
      <c r="A489" s="36" t="s">
        <v>550</v>
      </c>
      <c r="B489" s="36" t="s">
        <v>1144</v>
      </c>
      <c r="C489" s="37" t="s">
        <v>133</v>
      </c>
      <c r="D489" s="380">
        <v>8</v>
      </c>
      <c r="E489" s="380">
        <v>30</v>
      </c>
      <c r="F489" s="138"/>
      <c r="G489" s="138"/>
      <c r="H489" s="110">
        <f>+Table_1[[#This Row],[Column7]]+Table_1[[#This Row],[Column6]]+Table_1[[#This Row],[Column5]]+Table_1[[#This Row],[Column4]]</f>
        <v>38</v>
      </c>
      <c r="I489" s="274">
        <v>120</v>
      </c>
      <c r="J489" s="39">
        <f>'PACC GENERAL 2026'!$I489*'PACC GENERAL 2026'!$H489</f>
        <v>4560</v>
      </c>
      <c r="K489" s="40"/>
      <c r="L489" s="36"/>
      <c r="M489" s="77"/>
      <c r="N489" s="77"/>
      <c r="O489" s="123" t="s">
        <v>1666</v>
      </c>
      <c r="P489" s="323"/>
    </row>
    <row r="490" spans="1:16" s="287" customFormat="1" ht="15.5">
      <c r="A490" s="36" t="s">
        <v>550</v>
      </c>
      <c r="B490" s="36" t="s">
        <v>1145</v>
      </c>
      <c r="C490" s="37" t="s">
        <v>133</v>
      </c>
      <c r="D490" s="138"/>
      <c r="E490" s="380">
        <v>5</v>
      </c>
      <c r="F490" s="138"/>
      <c r="G490" s="138"/>
      <c r="H490" s="110">
        <f>+Table_1[[#This Row],[Column7]]+Table_1[[#This Row],[Column6]]+Table_1[[#This Row],[Column5]]+Table_1[[#This Row],[Column4]]</f>
        <v>5</v>
      </c>
      <c r="I490" s="38">
        <v>249</v>
      </c>
      <c r="J490" s="39">
        <f>'PACC GENERAL 2026'!$I490*'PACC GENERAL 2026'!$H490</f>
        <v>1245</v>
      </c>
      <c r="K490" s="40"/>
      <c r="L490" s="36"/>
      <c r="M490" s="77"/>
      <c r="N490" s="77"/>
      <c r="O490" s="123" t="s">
        <v>434</v>
      </c>
      <c r="P490" s="323"/>
    </row>
    <row r="491" spans="1:16" s="287" customFormat="1" ht="15.5">
      <c r="A491" s="36" t="s">
        <v>550</v>
      </c>
      <c r="B491" s="36" t="s">
        <v>1146</v>
      </c>
      <c r="C491" s="37" t="s">
        <v>133</v>
      </c>
      <c r="D491" s="138"/>
      <c r="E491" s="380">
        <v>10</v>
      </c>
      <c r="F491" s="138"/>
      <c r="G491" s="138"/>
      <c r="H491" s="110">
        <f>+Table_1[[#This Row],[Column7]]+Table_1[[#This Row],[Column6]]+Table_1[[#This Row],[Column5]]+Table_1[[#This Row],[Column4]]</f>
        <v>10</v>
      </c>
      <c r="I491" s="38">
        <v>145</v>
      </c>
      <c r="J491" s="39">
        <f>'PACC GENERAL 2026'!$I491*'PACC GENERAL 2026'!$H491</f>
        <v>1450</v>
      </c>
      <c r="K491" s="40"/>
      <c r="L491" s="36"/>
      <c r="M491" s="77"/>
      <c r="N491" s="77"/>
      <c r="O491" s="123" t="s">
        <v>434</v>
      </c>
      <c r="P491" s="323"/>
    </row>
    <row r="492" spans="1:16" s="287" customFormat="1" ht="15.5">
      <c r="A492" s="36" t="s">
        <v>550</v>
      </c>
      <c r="B492" s="36" t="s">
        <v>1147</v>
      </c>
      <c r="C492" s="37" t="s">
        <v>133</v>
      </c>
      <c r="D492" s="138"/>
      <c r="E492" s="380">
        <v>10</v>
      </c>
      <c r="F492" s="138"/>
      <c r="G492" s="138"/>
      <c r="H492" s="110">
        <f>+Table_1[[#This Row],[Column7]]+Table_1[[#This Row],[Column6]]+Table_1[[#This Row],[Column5]]+Table_1[[#This Row],[Column4]]</f>
        <v>10</v>
      </c>
      <c r="I492" s="38">
        <v>290</v>
      </c>
      <c r="J492" s="39">
        <f>'PACC GENERAL 2026'!$I492*'PACC GENERAL 2026'!$H492</f>
        <v>2900</v>
      </c>
      <c r="K492" s="40"/>
      <c r="L492" s="36"/>
      <c r="M492" s="77"/>
      <c r="N492" s="77"/>
      <c r="O492" s="123" t="s">
        <v>434</v>
      </c>
      <c r="P492" s="323"/>
    </row>
    <row r="493" spans="1:16" s="287" customFormat="1" ht="15.5">
      <c r="A493" s="36" t="s">
        <v>550</v>
      </c>
      <c r="B493" s="36" t="s">
        <v>552</v>
      </c>
      <c r="C493" s="37" t="s">
        <v>94</v>
      </c>
      <c r="D493" s="380">
        <v>8</v>
      </c>
      <c r="E493" s="213"/>
      <c r="F493" s="138"/>
      <c r="G493" s="138"/>
      <c r="H493" s="110">
        <f>+Table_1[[#This Row],[Column7]]+Table_1[[#This Row],[Column6]]+Table_1[[#This Row],[Column5]]+Table_1[[#This Row],[Column4]]</f>
        <v>8</v>
      </c>
      <c r="I493" s="38">
        <v>150</v>
      </c>
      <c r="J493" s="39">
        <f>'PACC GENERAL 2026'!$I493*'PACC GENERAL 2026'!$H493</f>
        <v>1200</v>
      </c>
      <c r="K493" s="40"/>
      <c r="L493" s="36"/>
      <c r="M493" s="77"/>
      <c r="N493" s="77"/>
      <c r="O493" s="123" t="s">
        <v>1312</v>
      </c>
      <c r="P493" s="323"/>
    </row>
    <row r="494" spans="1:16" s="287" customFormat="1" ht="15.5">
      <c r="A494" s="36" t="s">
        <v>550</v>
      </c>
      <c r="B494" s="36" t="s">
        <v>1148</v>
      </c>
      <c r="C494" s="37" t="s">
        <v>133</v>
      </c>
      <c r="D494" s="380">
        <v>8</v>
      </c>
      <c r="E494" s="380">
        <v>50</v>
      </c>
      <c r="F494" s="138"/>
      <c r="G494" s="138"/>
      <c r="H494" s="110">
        <f>+Table_1[[#This Row],[Column7]]+Table_1[[#This Row],[Column6]]+Table_1[[#This Row],[Column5]]+Table_1[[#This Row],[Column4]]</f>
        <v>58</v>
      </c>
      <c r="I494" s="38">
        <v>180</v>
      </c>
      <c r="J494" s="39">
        <f>'PACC GENERAL 2026'!$I494*'PACC GENERAL 2026'!$H494</f>
        <v>10440</v>
      </c>
      <c r="K494" s="40"/>
      <c r="L494" s="36"/>
      <c r="M494" s="77"/>
      <c r="N494" s="77"/>
      <c r="O494" s="123" t="s">
        <v>1666</v>
      </c>
      <c r="P494" s="323"/>
    </row>
    <row r="495" spans="1:16" s="287" customFormat="1" ht="15.5">
      <c r="A495" s="36" t="s">
        <v>550</v>
      </c>
      <c r="B495" s="36" t="s">
        <v>1152</v>
      </c>
      <c r="C495" s="37" t="s">
        <v>133</v>
      </c>
      <c r="D495" s="213"/>
      <c r="E495" s="380">
        <v>30</v>
      </c>
      <c r="F495" s="138"/>
      <c r="G495" s="138"/>
      <c r="H495" s="110">
        <f>+Table_1[[#This Row],[Column7]]+Table_1[[#This Row],[Column6]]+Table_1[[#This Row],[Column5]]+Table_1[[#This Row],[Column4]]</f>
        <v>30</v>
      </c>
      <c r="I495" s="38">
        <v>130</v>
      </c>
      <c r="J495" s="39">
        <f>'PACC GENERAL 2026'!$I495*'PACC GENERAL 2026'!$H495</f>
        <v>3900</v>
      </c>
      <c r="K495" s="40"/>
      <c r="L495" s="36"/>
      <c r="M495" s="77"/>
      <c r="N495" s="77"/>
      <c r="O495" s="123" t="s">
        <v>434</v>
      </c>
      <c r="P495" s="323"/>
    </row>
    <row r="496" spans="1:16" s="287" customFormat="1" ht="15.5">
      <c r="A496" s="36" t="s">
        <v>550</v>
      </c>
      <c r="B496" s="36" t="s">
        <v>1151</v>
      </c>
      <c r="C496" s="37" t="s">
        <v>133</v>
      </c>
      <c r="D496" s="380">
        <v>16</v>
      </c>
      <c r="E496" s="380">
        <v>100</v>
      </c>
      <c r="F496" s="138"/>
      <c r="G496" s="138"/>
      <c r="H496" s="110">
        <f>+Table_1[[#This Row],[Column7]]+Table_1[[#This Row],[Column6]]+Table_1[[#This Row],[Column5]]+Table_1[[#This Row],[Column4]]</f>
        <v>116</v>
      </c>
      <c r="I496" s="274">
        <v>120</v>
      </c>
      <c r="J496" s="39">
        <f>'PACC GENERAL 2026'!$I496*'PACC GENERAL 2026'!$H496</f>
        <v>13920</v>
      </c>
      <c r="K496" s="40"/>
      <c r="L496" s="36"/>
      <c r="M496" s="77"/>
      <c r="N496" s="77"/>
      <c r="O496" s="123" t="s">
        <v>1666</v>
      </c>
      <c r="P496" s="323"/>
    </row>
    <row r="497" spans="1:16" s="287" customFormat="1" ht="15.5">
      <c r="A497" s="36" t="s">
        <v>550</v>
      </c>
      <c r="B497" s="36" t="s">
        <v>1150</v>
      </c>
      <c r="C497" s="37" t="s">
        <v>133</v>
      </c>
      <c r="D497" s="380">
        <v>8</v>
      </c>
      <c r="E497" s="380">
        <v>15</v>
      </c>
      <c r="F497" s="138"/>
      <c r="G497" s="138"/>
      <c r="H497" s="110">
        <f>+Table_1[[#This Row],[Column7]]+Table_1[[#This Row],[Column6]]+Table_1[[#This Row],[Column5]]+Table_1[[#This Row],[Column4]]</f>
        <v>23</v>
      </c>
      <c r="I497" s="38">
        <v>150</v>
      </c>
      <c r="J497" s="39">
        <f>'PACC GENERAL 2026'!$I497*'PACC GENERAL 2026'!$H497</f>
        <v>3450</v>
      </c>
      <c r="K497" s="40"/>
      <c r="L497" s="36"/>
      <c r="M497" s="77"/>
      <c r="N497" s="77"/>
      <c r="O497" s="123" t="s">
        <v>1666</v>
      </c>
      <c r="P497" s="323"/>
    </row>
    <row r="498" spans="1:16" s="287" customFormat="1" ht="15.5">
      <c r="A498" s="36" t="s">
        <v>550</v>
      </c>
      <c r="B498" s="36" t="s">
        <v>553</v>
      </c>
      <c r="C498" s="37" t="s">
        <v>94</v>
      </c>
      <c r="D498" s="380">
        <v>8</v>
      </c>
      <c r="E498" s="213"/>
      <c r="F498" s="138"/>
      <c r="G498" s="138"/>
      <c r="H498" s="110">
        <f>+Table_1[[#This Row],[Column7]]+Table_1[[#This Row],[Column6]]+Table_1[[#This Row],[Column5]]+Table_1[[#This Row],[Column4]]</f>
        <v>8</v>
      </c>
      <c r="I498" s="38">
        <v>204.44</v>
      </c>
      <c r="J498" s="39">
        <f>'PACC GENERAL 2026'!$I498*'PACC GENERAL 2026'!$H498</f>
        <v>1635.52</v>
      </c>
      <c r="K498" s="40"/>
      <c r="L498" s="36"/>
      <c r="M498" s="77"/>
      <c r="N498" s="77"/>
      <c r="O498" s="123" t="s">
        <v>1312</v>
      </c>
      <c r="P498" s="323"/>
    </row>
    <row r="499" spans="1:16" ht="15.5">
      <c r="A499" s="78" t="s">
        <v>550</v>
      </c>
      <c r="B499" s="10"/>
      <c r="C499" s="11"/>
      <c r="D499" s="148"/>
      <c r="E499" s="148"/>
      <c r="F499" s="148"/>
      <c r="G499" s="152"/>
      <c r="H499" s="111"/>
      <c r="I499" s="44"/>
      <c r="J499" s="12"/>
      <c r="K499" s="13">
        <f>SUM(J487:J498)</f>
        <v>56688.52</v>
      </c>
      <c r="L499" s="10"/>
      <c r="M499" s="10"/>
      <c r="N499" s="10"/>
      <c r="O499" s="73"/>
      <c r="P499" s="321"/>
    </row>
    <row r="500" spans="1:16" s="97" customFormat="1" ht="15.5">
      <c r="A500" s="31" t="s">
        <v>21</v>
      </c>
      <c r="B500" s="31" t="s">
        <v>149</v>
      </c>
      <c r="C500" s="32" t="s">
        <v>94</v>
      </c>
      <c r="D500" s="133"/>
      <c r="E500" s="137"/>
      <c r="F500" s="153"/>
      <c r="G500" s="133"/>
      <c r="H500" s="67">
        <f>+Table_1[[#This Row],[Column7]]+Table_1[[#This Row],[Column6]]+Table_1[[#This Row],[Column5]]+Table_1[[#This Row],[Column4]]</f>
        <v>0</v>
      </c>
      <c r="I500" s="38">
        <v>300</v>
      </c>
      <c r="J500" s="34">
        <f>'PACC GENERAL 2026'!$I500*'PACC GENERAL 2026'!$H500</f>
        <v>0</v>
      </c>
      <c r="K500" s="35"/>
      <c r="L500" s="31"/>
      <c r="M500" s="31"/>
      <c r="N500" s="31"/>
      <c r="O500" s="32"/>
    </row>
    <row r="501" spans="1:16" s="97" customFormat="1" ht="15.5">
      <c r="A501" s="31" t="s">
        <v>21</v>
      </c>
      <c r="B501" s="31" t="s">
        <v>890</v>
      </c>
      <c r="C501" s="32" t="s">
        <v>94</v>
      </c>
      <c r="D501" s="133">
        <v>100</v>
      </c>
      <c r="E501" s="137"/>
      <c r="F501" s="153"/>
      <c r="G501" s="140"/>
      <c r="H501" s="67">
        <f>+Table_1[[#This Row],[Column7]]+Table_1[[#This Row],[Column6]]+Table_1[[#This Row],[Column5]]+Table_1[[#This Row],[Column4]]</f>
        <v>100</v>
      </c>
      <c r="I501" s="38">
        <v>475</v>
      </c>
      <c r="J501" s="34">
        <f t="shared" ref="J501:J502" si="18">D501*I501</f>
        <v>47500</v>
      </c>
      <c r="K501" s="35"/>
      <c r="L501" s="31"/>
      <c r="M501" s="31"/>
      <c r="N501" s="31"/>
      <c r="O501" s="32" t="s">
        <v>404</v>
      </c>
      <c r="P501" s="320"/>
    </row>
    <row r="502" spans="1:16" s="97" customFormat="1" ht="15.5">
      <c r="A502" s="31" t="s">
        <v>21</v>
      </c>
      <c r="B502" s="31" t="s">
        <v>891</v>
      </c>
      <c r="C502" s="32" t="s">
        <v>94</v>
      </c>
      <c r="D502" s="133">
        <v>700</v>
      </c>
      <c r="E502" s="137"/>
      <c r="F502" s="153"/>
      <c r="G502" s="140"/>
      <c r="H502" s="67">
        <f>+Table_1[[#This Row],[Column7]]+Table_1[[#This Row],[Column6]]+Table_1[[#This Row],[Column5]]+Table_1[[#This Row],[Column4]]</f>
        <v>700</v>
      </c>
      <c r="I502" s="38">
        <v>380</v>
      </c>
      <c r="J502" s="34">
        <f t="shared" si="18"/>
        <v>266000</v>
      </c>
      <c r="K502" s="35"/>
      <c r="L502" s="31"/>
      <c r="M502" s="31"/>
      <c r="N502" s="31"/>
      <c r="O502" s="32" t="s">
        <v>404</v>
      </c>
      <c r="P502" s="320"/>
    </row>
    <row r="503" spans="1:16" s="97" customFormat="1" ht="15.5">
      <c r="A503" s="48" t="s">
        <v>21</v>
      </c>
      <c r="B503" s="48" t="s">
        <v>777</v>
      </c>
      <c r="C503" s="63" t="s">
        <v>94</v>
      </c>
      <c r="D503" s="133">
        <f>60+60</f>
        <v>120</v>
      </c>
      <c r="E503" s="137"/>
      <c r="F503" s="155"/>
      <c r="G503" s="155"/>
      <c r="H503" s="67">
        <f>+Table_1[[#This Row],[Column7]]+Table_1[[#This Row],[Column6]]+Table_1[[#This Row],[Column5]]+Table_1[[#This Row],[Column4]]</f>
        <v>120</v>
      </c>
      <c r="I503" s="77">
        <v>350</v>
      </c>
      <c r="J503" s="201">
        <f>+'PACC GENERAL 2026'!$H503*'PACC GENERAL 2026'!$I503</f>
        <v>42000</v>
      </c>
      <c r="K503" s="103"/>
      <c r="L503" s="48"/>
      <c r="M503" s="48"/>
      <c r="N503" s="48"/>
      <c r="O503" s="63" t="s">
        <v>1224</v>
      </c>
      <c r="P503" s="320"/>
    </row>
    <row r="504" spans="1:16" s="97" customFormat="1" ht="15.5">
      <c r="A504" s="48" t="s">
        <v>21</v>
      </c>
      <c r="B504" s="48" t="s">
        <v>778</v>
      </c>
      <c r="C504" s="63" t="s">
        <v>94</v>
      </c>
      <c r="D504" s="133">
        <f>125+125</f>
        <v>250</v>
      </c>
      <c r="E504" s="137"/>
      <c r="F504" s="155"/>
      <c r="G504" s="155"/>
      <c r="H504" s="67">
        <f>+Table_1[[#This Row],[Column7]]+Table_1[[#This Row],[Column6]]+Table_1[[#This Row],[Column5]]+Table_1[[#This Row],[Column4]]</f>
        <v>250</v>
      </c>
      <c r="I504" s="77">
        <v>400</v>
      </c>
      <c r="J504" s="201">
        <f>+'PACC GENERAL 2026'!$H504*'PACC GENERAL 2026'!$I504</f>
        <v>100000</v>
      </c>
      <c r="K504" s="103"/>
      <c r="L504" s="48"/>
      <c r="M504" s="48"/>
      <c r="N504" s="48"/>
      <c r="O504" s="63" t="s">
        <v>1224</v>
      </c>
      <c r="P504" s="320"/>
    </row>
    <row r="505" spans="1:16" s="97" customFormat="1" ht="15.5">
      <c r="A505" s="48" t="s">
        <v>21</v>
      </c>
      <c r="B505" s="48" t="s">
        <v>779</v>
      </c>
      <c r="C505" s="63" t="s">
        <v>94</v>
      </c>
      <c r="D505" s="133">
        <f>125+125</f>
        <v>250</v>
      </c>
      <c r="E505" s="137"/>
      <c r="F505" s="155"/>
      <c r="G505" s="155"/>
      <c r="H505" s="67">
        <f>+Table_1[[#This Row],[Column7]]+Table_1[[#This Row],[Column6]]+Table_1[[#This Row],[Column5]]+Table_1[[#This Row],[Column4]]</f>
        <v>250</v>
      </c>
      <c r="I505" s="77">
        <v>450</v>
      </c>
      <c r="J505" s="201">
        <f>+'PACC GENERAL 2026'!$H505*'PACC GENERAL 2026'!$I505</f>
        <v>112500</v>
      </c>
      <c r="K505" s="103"/>
      <c r="L505" s="48"/>
      <c r="M505" s="48"/>
      <c r="N505" s="48"/>
      <c r="O505" s="63" t="s">
        <v>1224</v>
      </c>
      <c r="P505" s="320"/>
    </row>
    <row r="506" spans="1:16" s="97" customFormat="1" ht="15.5">
      <c r="A506" s="48" t="s">
        <v>21</v>
      </c>
      <c r="B506" s="48" t="s">
        <v>780</v>
      </c>
      <c r="C506" s="63" t="s">
        <v>94</v>
      </c>
      <c r="D506" s="133">
        <f>60+60</f>
        <v>120</v>
      </c>
      <c r="E506" s="137"/>
      <c r="F506" s="155"/>
      <c r="G506" s="155"/>
      <c r="H506" s="67">
        <f>+Table_1[[#This Row],[Column7]]+Table_1[[#This Row],[Column6]]+Table_1[[#This Row],[Column5]]+Table_1[[#This Row],[Column4]]</f>
        <v>120</v>
      </c>
      <c r="I506" s="77">
        <v>500</v>
      </c>
      <c r="J506" s="201">
        <f>+'PACC GENERAL 2026'!$H506*'PACC GENERAL 2026'!$I506</f>
        <v>60000</v>
      </c>
      <c r="K506" s="103"/>
      <c r="L506" s="48"/>
      <c r="M506" s="48"/>
      <c r="N506" s="48"/>
      <c r="O506" s="63" t="s">
        <v>1224</v>
      </c>
      <c r="P506" s="320"/>
    </row>
    <row r="507" spans="1:16" s="97" customFormat="1" ht="15.5">
      <c r="A507" s="48" t="s">
        <v>21</v>
      </c>
      <c r="B507" s="48" t="s">
        <v>829</v>
      </c>
      <c r="C507" s="63" t="s">
        <v>94</v>
      </c>
      <c r="D507" s="133">
        <v>40</v>
      </c>
      <c r="E507" s="137"/>
      <c r="F507" s="155"/>
      <c r="G507" s="155"/>
      <c r="H507" s="67">
        <f>+Table_1[[#This Row],[Column7]]+Table_1[[#This Row],[Column6]]+Table_1[[#This Row],[Column5]]+Table_1[[#This Row],[Column4]]</f>
        <v>40</v>
      </c>
      <c r="I507" s="77">
        <v>22184</v>
      </c>
      <c r="J507" s="201">
        <f>+'PACC GENERAL 2026'!$H507*'PACC GENERAL 2026'!$I507</f>
        <v>887360</v>
      </c>
      <c r="K507" s="103"/>
      <c r="L507" s="48"/>
      <c r="M507" s="48"/>
      <c r="N507" s="48"/>
      <c r="O507" s="63" t="s">
        <v>1224</v>
      </c>
      <c r="P507" s="320"/>
    </row>
    <row r="508" spans="1:16" s="97" customFormat="1" ht="15.5">
      <c r="A508" s="48" t="s">
        <v>21</v>
      </c>
      <c r="B508" s="48" t="s">
        <v>830</v>
      </c>
      <c r="C508" s="63" t="s">
        <v>94</v>
      </c>
      <c r="D508" s="133">
        <f>40+50</f>
        <v>90</v>
      </c>
      <c r="E508" s="137"/>
      <c r="F508" s="155"/>
      <c r="G508" s="155"/>
      <c r="H508" s="67">
        <f>+Table_1[[#This Row],[Column7]]+Table_1[[#This Row],[Column6]]+Table_1[[#This Row],[Column5]]+Table_1[[#This Row],[Column4]]</f>
        <v>90</v>
      </c>
      <c r="I508" s="77">
        <v>38548</v>
      </c>
      <c r="J508" s="201">
        <f>+'PACC GENERAL 2026'!$H508*'PACC GENERAL 2026'!$I508</f>
        <v>3469320</v>
      </c>
      <c r="K508" s="103"/>
      <c r="L508" s="48"/>
      <c r="M508" s="48"/>
      <c r="N508" s="48"/>
      <c r="O508" s="63" t="s">
        <v>1224</v>
      </c>
      <c r="P508" s="320"/>
    </row>
    <row r="509" spans="1:16" s="97" customFormat="1" ht="15.5">
      <c r="A509" s="48" t="s">
        <v>21</v>
      </c>
      <c r="B509" s="48" t="s">
        <v>831</v>
      </c>
      <c r="C509" s="63" t="s">
        <v>94</v>
      </c>
      <c r="D509" s="133">
        <f>15+30</f>
        <v>45</v>
      </c>
      <c r="E509" s="137"/>
      <c r="F509" s="155"/>
      <c r="G509" s="155"/>
      <c r="H509" s="67">
        <f>+Table_1[[#This Row],[Column7]]+Table_1[[#This Row],[Column6]]+Table_1[[#This Row],[Column5]]+Table_1[[#This Row],[Column4]]</f>
        <v>45</v>
      </c>
      <c r="I509" s="77">
        <v>48654</v>
      </c>
      <c r="J509" s="201">
        <f>+'PACC GENERAL 2026'!$H509*'PACC GENERAL 2026'!$I509</f>
        <v>2189430</v>
      </c>
      <c r="K509" s="103"/>
      <c r="L509" s="48"/>
      <c r="M509" s="48"/>
      <c r="N509" s="48"/>
      <c r="O509" s="63" t="s">
        <v>1224</v>
      </c>
      <c r="P509" s="320"/>
    </row>
    <row r="510" spans="1:16" s="97" customFormat="1" ht="15.5">
      <c r="A510" s="48" t="s">
        <v>21</v>
      </c>
      <c r="B510" s="48" t="s">
        <v>832</v>
      </c>
      <c r="C510" s="63" t="s">
        <v>94</v>
      </c>
      <c r="D510" s="133">
        <f>20+50</f>
        <v>70</v>
      </c>
      <c r="E510" s="137"/>
      <c r="F510" s="155"/>
      <c r="G510" s="155"/>
      <c r="H510" s="67">
        <f>+Table_1[[#This Row],[Column7]]+Table_1[[#This Row],[Column6]]+Table_1[[#This Row],[Column5]]+Table_1[[#This Row],[Column4]]</f>
        <v>70</v>
      </c>
      <c r="I510" s="77">
        <v>24793</v>
      </c>
      <c r="J510" s="201">
        <f>+'PACC GENERAL 2026'!$H510*'PACC GENERAL 2026'!$I510</f>
        <v>1735510</v>
      </c>
      <c r="K510" s="103"/>
      <c r="L510" s="48"/>
      <c r="M510" s="48"/>
      <c r="N510" s="48"/>
      <c r="O510" s="63" t="s">
        <v>1224</v>
      </c>
      <c r="P510" s="320"/>
    </row>
    <row r="511" spans="1:16" s="97" customFormat="1" ht="15.5">
      <c r="A511" s="48" t="s">
        <v>21</v>
      </c>
      <c r="B511" s="48" t="s">
        <v>673</v>
      </c>
      <c r="C511" s="63" t="s">
        <v>94</v>
      </c>
      <c r="D511" s="133">
        <f>50+10</f>
        <v>60</v>
      </c>
      <c r="E511" s="137"/>
      <c r="F511" s="155"/>
      <c r="G511" s="155"/>
      <c r="H511" s="67">
        <f>+Table_1[[#This Row],[Column7]]+Table_1[[#This Row],[Column6]]+Table_1[[#This Row],[Column5]]+Table_1[[#This Row],[Column4]]</f>
        <v>60</v>
      </c>
      <c r="I511" s="77">
        <v>11000</v>
      </c>
      <c r="J511" s="201">
        <f>+'PACC GENERAL 2026'!$H511*'PACC GENERAL 2026'!$I511</f>
        <v>660000</v>
      </c>
      <c r="K511" s="103"/>
      <c r="L511" s="48"/>
      <c r="M511" s="48"/>
      <c r="N511" s="48"/>
      <c r="O511" s="63" t="s">
        <v>1224</v>
      </c>
      <c r="P511" s="320"/>
    </row>
    <row r="512" spans="1:16" s="97" customFormat="1" ht="15.5">
      <c r="A512" s="48" t="s">
        <v>21</v>
      </c>
      <c r="B512" s="48" t="s">
        <v>674</v>
      </c>
      <c r="C512" s="63" t="s">
        <v>94</v>
      </c>
      <c r="D512" s="133">
        <f>50+20</f>
        <v>70</v>
      </c>
      <c r="E512" s="137"/>
      <c r="F512" s="155"/>
      <c r="G512" s="155"/>
      <c r="H512" s="67">
        <f>+Table_1[[#This Row],[Column7]]+Table_1[[#This Row],[Column6]]+Table_1[[#This Row],[Column5]]+Table_1[[#This Row],[Column4]]</f>
        <v>70</v>
      </c>
      <c r="I512" s="77">
        <v>11000</v>
      </c>
      <c r="J512" s="201">
        <f>+'PACC GENERAL 2026'!$H512*'PACC GENERAL 2026'!$I512</f>
        <v>770000</v>
      </c>
      <c r="K512" s="103"/>
      <c r="L512" s="48"/>
      <c r="M512" s="48"/>
      <c r="N512" s="48"/>
      <c r="O512" s="63" t="s">
        <v>1224</v>
      </c>
      <c r="P512" s="320"/>
    </row>
    <row r="513" spans="1:16" s="97" customFormat="1" ht="15.5">
      <c r="A513" s="48" t="s">
        <v>21</v>
      </c>
      <c r="B513" s="48" t="s">
        <v>675</v>
      </c>
      <c r="C513" s="63" t="s">
        <v>94</v>
      </c>
      <c r="D513" s="133">
        <f>30+10</f>
        <v>40</v>
      </c>
      <c r="E513" s="137"/>
      <c r="F513" s="155"/>
      <c r="G513" s="155"/>
      <c r="H513" s="67">
        <f>+Table_1[[#This Row],[Column7]]+Table_1[[#This Row],[Column6]]+Table_1[[#This Row],[Column5]]+Table_1[[#This Row],[Column4]]</f>
        <v>40</v>
      </c>
      <c r="I513" s="77">
        <v>12000</v>
      </c>
      <c r="J513" s="201">
        <f>+'PACC GENERAL 2026'!$H513*'PACC GENERAL 2026'!$I513</f>
        <v>480000</v>
      </c>
      <c r="K513" s="103"/>
      <c r="L513" s="48"/>
      <c r="M513" s="48"/>
      <c r="N513" s="48"/>
      <c r="O513" s="63" t="s">
        <v>1224</v>
      </c>
      <c r="P513" s="320"/>
    </row>
    <row r="514" spans="1:16" s="97" customFormat="1" ht="15.5">
      <c r="A514" s="48" t="s">
        <v>21</v>
      </c>
      <c r="B514" s="48" t="s">
        <v>676</v>
      </c>
      <c r="C514" s="63" t="s">
        <v>94</v>
      </c>
      <c r="D514" s="133">
        <f>25+15</f>
        <v>40</v>
      </c>
      <c r="E514" s="137"/>
      <c r="F514" s="155"/>
      <c r="G514" s="155"/>
      <c r="H514" s="67">
        <f>+Table_1[[#This Row],[Column7]]+Table_1[[#This Row],[Column6]]+Table_1[[#This Row],[Column5]]+Table_1[[#This Row],[Column4]]</f>
        <v>40</v>
      </c>
      <c r="I514" s="77">
        <v>34000</v>
      </c>
      <c r="J514" s="201">
        <f>+'PACC GENERAL 2026'!$H514*'PACC GENERAL 2026'!$I514</f>
        <v>1360000</v>
      </c>
      <c r="K514" s="103"/>
      <c r="L514" s="48"/>
      <c r="M514" s="48"/>
      <c r="N514" s="48"/>
      <c r="O514" s="63" t="s">
        <v>1224</v>
      </c>
      <c r="P514" s="320"/>
    </row>
    <row r="515" spans="1:16" s="97" customFormat="1" ht="15.5">
      <c r="A515" s="48" t="s">
        <v>21</v>
      </c>
      <c r="B515" s="48" t="s">
        <v>677</v>
      </c>
      <c r="C515" s="63" t="s">
        <v>94</v>
      </c>
      <c r="D515" s="133">
        <f>20+20</f>
        <v>40</v>
      </c>
      <c r="E515" s="137"/>
      <c r="F515" s="155"/>
      <c r="G515" s="155"/>
      <c r="H515" s="67">
        <f>+Table_1[[#This Row],[Column7]]+Table_1[[#This Row],[Column6]]+Table_1[[#This Row],[Column5]]+Table_1[[#This Row],[Column4]]</f>
        <v>40</v>
      </c>
      <c r="I515" s="77">
        <v>83500</v>
      </c>
      <c r="J515" s="201">
        <f>+'PACC GENERAL 2026'!$H515*'PACC GENERAL 2026'!$I515</f>
        <v>3340000</v>
      </c>
      <c r="K515" s="103"/>
      <c r="L515" s="48"/>
      <c r="M515" s="48"/>
      <c r="N515" s="48"/>
      <c r="O515" s="63" t="s">
        <v>1224</v>
      </c>
      <c r="P515" s="320"/>
    </row>
    <row r="516" spans="1:16" s="97" customFormat="1" ht="15.5">
      <c r="A516" s="48" t="s">
        <v>21</v>
      </c>
      <c r="B516" s="48" t="s">
        <v>678</v>
      </c>
      <c r="C516" s="63" t="s">
        <v>94</v>
      </c>
      <c r="D516" s="133">
        <f>15+20</f>
        <v>35</v>
      </c>
      <c r="E516" s="137"/>
      <c r="F516" s="155"/>
      <c r="G516" s="155"/>
      <c r="H516" s="67">
        <f>+Table_1[[#This Row],[Column7]]+Table_1[[#This Row],[Column6]]+Table_1[[#This Row],[Column5]]+Table_1[[#This Row],[Column4]]</f>
        <v>35</v>
      </c>
      <c r="I516" s="77">
        <v>96500</v>
      </c>
      <c r="J516" s="201">
        <f>+'PACC GENERAL 2026'!$H516*'PACC GENERAL 2026'!$I516</f>
        <v>3377500</v>
      </c>
      <c r="K516" s="103"/>
      <c r="L516" s="48"/>
      <c r="M516" s="48"/>
      <c r="N516" s="48"/>
      <c r="O516" s="63" t="s">
        <v>1224</v>
      </c>
      <c r="P516" s="320"/>
    </row>
    <row r="517" spans="1:16" s="97" customFormat="1" ht="15.5">
      <c r="A517" s="48" t="s">
        <v>21</v>
      </c>
      <c r="B517" s="48" t="s">
        <v>840</v>
      </c>
      <c r="C517" s="63" t="s">
        <v>94</v>
      </c>
      <c r="D517" s="133">
        <f>10+10+10</f>
        <v>30</v>
      </c>
      <c r="E517" s="137"/>
      <c r="F517" s="155"/>
      <c r="G517" s="155"/>
      <c r="H517" s="67">
        <f>+Table_1[[#This Row],[Column7]]+Table_1[[#This Row],[Column6]]+Table_1[[#This Row],[Column5]]+Table_1[[#This Row],[Column4]]</f>
        <v>30</v>
      </c>
      <c r="I517" s="77">
        <v>140000</v>
      </c>
      <c r="J517" s="201">
        <f>+'PACC GENERAL 2026'!$H517*'PACC GENERAL 2026'!$I517</f>
        <v>4200000</v>
      </c>
      <c r="K517" s="103"/>
      <c r="L517" s="48"/>
      <c r="M517" s="48"/>
      <c r="N517" s="48"/>
      <c r="O517" s="63" t="s">
        <v>1224</v>
      </c>
      <c r="P517" s="320"/>
    </row>
    <row r="518" spans="1:16" s="97" customFormat="1" ht="15.5">
      <c r="A518" s="48" t="s">
        <v>21</v>
      </c>
      <c r="B518" s="48" t="s">
        <v>1257</v>
      </c>
      <c r="C518" s="63" t="s">
        <v>93</v>
      </c>
      <c r="D518" s="133">
        <v>80</v>
      </c>
      <c r="E518" s="137"/>
      <c r="F518" s="155"/>
      <c r="G518" s="155"/>
      <c r="H518" s="67">
        <f>+Table_1[[#This Row],[Column7]]+Table_1[[#This Row],[Column6]]+Table_1[[#This Row],[Column5]]+Table_1[[#This Row],[Column4]]</f>
        <v>80</v>
      </c>
      <c r="I518" s="77">
        <v>2500</v>
      </c>
      <c r="J518" s="201">
        <f>+'PACC GENERAL 2026'!$H518*'PACC GENERAL 2026'!$I518</f>
        <v>200000</v>
      </c>
      <c r="K518" s="103"/>
      <c r="L518" s="48"/>
      <c r="M518" s="48"/>
      <c r="N518" s="48"/>
      <c r="O518" s="63" t="s">
        <v>1224</v>
      </c>
      <c r="P518" s="320"/>
    </row>
    <row r="519" spans="1:16" s="97" customFormat="1" ht="15.5">
      <c r="A519" s="48" t="s">
        <v>21</v>
      </c>
      <c r="B519" s="48" t="s">
        <v>1258</v>
      </c>
      <c r="C519" s="63" t="s">
        <v>93</v>
      </c>
      <c r="D519" s="133">
        <v>6</v>
      </c>
      <c r="E519" s="137"/>
      <c r="F519" s="155"/>
      <c r="G519" s="155"/>
      <c r="H519" s="67">
        <f>+Table_1[[#This Row],[Column7]]+Table_1[[#This Row],[Column6]]+Table_1[[#This Row],[Column5]]+Table_1[[#This Row],[Column4]]</f>
        <v>6</v>
      </c>
      <c r="I519" s="77">
        <v>60000</v>
      </c>
      <c r="J519" s="201">
        <f>+'PACC GENERAL 2026'!$H519*'PACC GENERAL 2026'!$I519</f>
        <v>360000</v>
      </c>
      <c r="K519" s="103"/>
      <c r="L519" s="48"/>
      <c r="M519" s="48"/>
      <c r="N519" s="48"/>
      <c r="O519" s="63" t="s">
        <v>1224</v>
      </c>
      <c r="P519" s="320"/>
    </row>
    <row r="520" spans="1:16" s="97" customFormat="1" ht="15.5">
      <c r="A520" s="48" t="s">
        <v>21</v>
      </c>
      <c r="B520" s="48" t="s">
        <v>1259</v>
      </c>
      <c r="C520" s="63" t="s">
        <v>93</v>
      </c>
      <c r="D520" s="133">
        <v>50</v>
      </c>
      <c r="E520" s="137"/>
      <c r="F520" s="155"/>
      <c r="G520" s="155"/>
      <c r="H520" s="67">
        <f>+Table_1[[#This Row],[Column7]]+Table_1[[#This Row],[Column6]]+Table_1[[#This Row],[Column5]]+Table_1[[#This Row],[Column4]]</f>
        <v>50</v>
      </c>
      <c r="I520" s="77">
        <v>2000</v>
      </c>
      <c r="J520" s="201">
        <f>+'PACC GENERAL 2026'!$H520*'PACC GENERAL 2026'!$I520</f>
        <v>100000</v>
      </c>
      <c r="K520" s="103"/>
      <c r="L520" s="48"/>
      <c r="M520" s="48"/>
      <c r="N520" s="48"/>
      <c r="O520" s="63" t="s">
        <v>1224</v>
      </c>
      <c r="P520" s="320"/>
    </row>
    <row r="521" spans="1:16" s="97" customFormat="1" ht="15.5">
      <c r="A521" s="48" t="s">
        <v>21</v>
      </c>
      <c r="B521" s="48" t="s">
        <v>1260</v>
      </c>
      <c r="C521" s="63" t="s">
        <v>93</v>
      </c>
      <c r="D521" s="133">
        <v>50</v>
      </c>
      <c r="E521" s="137"/>
      <c r="F521" s="155"/>
      <c r="G521" s="155"/>
      <c r="H521" s="67">
        <f>+Table_1[[#This Row],[Column7]]+Table_1[[#This Row],[Column6]]+Table_1[[#This Row],[Column5]]+Table_1[[#This Row],[Column4]]</f>
        <v>50</v>
      </c>
      <c r="I521" s="77">
        <v>3000</v>
      </c>
      <c r="J521" s="201">
        <f>+'PACC GENERAL 2026'!$H521*'PACC GENERAL 2026'!$I521</f>
        <v>150000</v>
      </c>
      <c r="K521" s="103"/>
      <c r="L521" s="48"/>
      <c r="M521" s="48"/>
      <c r="N521" s="48"/>
      <c r="O521" s="63" t="s">
        <v>1224</v>
      </c>
      <c r="P521" s="320"/>
    </row>
    <row r="522" spans="1:16" s="97" customFormat="1" ht="15.5">
      <c r="A522" s="48" t="s">
        <v>21</v>
      </c>
      <c r="B522" s="365" t="s">
        <v>1488</v>
      </c>
      <c r="C522" s="63" t="s">
        <v>93</v>
      </c>
      <c r="D522" s="404">
        <v>50</v>
      </c>
      <c r="E522" s="137"/>
      <c r="F522" s="367"/>
      <c r="G522" s="367"/>
      <c r="H522" s="67">
        <f>+Table_1[[#This Row],[Column7]]+Table_1[[#This Row],[Column6]]+Table_1[[#This Row],[Column5]]+Table_1[[#This Row],[Column4]]</f>
        <v>50</v>
      </c>
      <c r="I522" s="77">
        <v>800</v>
      </c>
      <c r="J522" s="201">
        <f>+'PACC GENERAL 2026'!$H522*'PACC GENERAL 2026'!$I522</f>
        <v>40000</v>
      </c>
      <c r="K522" s="368"/>
      <c r="L522" s="365"/>
      <c r="M522" s="365"/>
      <c r="N522" s="365"/>
      <c r="O522" s="366" t="s">
        <v>1224</v>
      </c>
      <c r="P522" s="369"/>
    </row>
    <row r="523" spans="1:16" s="97" customFormat="1" ht="15.5">
      <c r="A523" s="48" t="s">
        <v>21</v>
      </c>
      <c r="B523" s="48" t="s">
        <v>149</v>
      </c>
      <c r="C523" s="63" t="s">
        <v>94</v>
      </c>
      <c r="D523" s="155">
        <v>600</v>
      </c>
      <c r="E523" s="231"/>
      <c r="F523" s="155"/>
      <c r="G523" s="155"/>
      <c r="H523" s="67">
        <f>+Table_1[[#This Row],[Column7]]+Table_1[[#This Row],[Column6]]+Table_1[[#This Row],[Column5]]+Table_1[[#This Row],[Column4]]</f>
        <v>600</v>
      </c>
      <c r="I523" s="77">
        <v>300</v>
      </c>
      <c r="J523" s="201">
        <f>+'PACC GENERAL 2026'!$H523*'PACC GENERAL 2026'!$I523</f>
        <v>180000</v>
      </c>
      <c r="K523" s="103"/>
      <c r="L523" s="48"/>
      <c r="M523" s="48"/>
      <c r="N523" s="48"/>
      <c r="O523" s="63" t="s">
        <v>975</v>
      </c>
      <c r="P523" s="320"/>
    </row>
    <row r="524" spans="1:16" s="97" customFormat="1" ht="15.5">
      <c r="A524" s="48" t="s">
        <v>21</v>
      </c>
      <c r="B524" s="48" t="s">
        <v>150</v>
      </c>
      <c r="C524" s="63" t="s">
        <v>94</v>
      </c>
      <c r="D524" s="155">
        <v>480</v>
      </c>
      <c r="E524" s="231"/>
      <c r="F524" s="155"/>
      <c r="G524" s="155"/>
      <c r="H524" s="67">
        <f>+Table_1[[#This Row],[Column7]]+Table_1[[#This Row],[Column6]]+Table_1[[#This Row],[Column5]]+Table_1[[#This Row],[Column4]]</f>
        <v>480</v>
      </c>
      <c r="I524" s="77">
        <v>400</v>
      </c>
      <c r="J524" s="201">
        <f>+'PACC GENERAL 2026'!$H524*'PACC GENERAL 2026'!$I524</f>
        <v>192000</v>
      </c>
      <c r="K524" s="103"/>
      <c r="L524" s="48"/>
      <c r="M524" s="48"/>
      <c r="N524" s="48"/>
      <c r="O524" s="63" t="s">
        <v>975</v>
      </c>
      <c r="P524" s="320"/>
    </row>
    <row r="525" spans="1:16" s="97" customFormat="1" ht="15.5">
      <c r="A525" s="48" t="s">
        <v>21</v>
      </c>
      <c r="B525" s="48" t="s">
        <v>151</v>
      </c>
      <c r="C525" s="63" t="s">
        <v>94</v>
      </c>
      <c r="D525" s="155">
        <v>240</v>
      </c>
      <c r="E525" s="231"/>
      <c r="F525" s="155"/>
      <c r="G525" s="155"/>
      <c r="H525" s="67">
        <f>+Table_1[[#This Row],[Column7]]+Table_1[[#This Row],[Column6]]+Table_1[[#This Row],[Column5]]+Table_1[[#This Row],[Column4]]</f>
        <v>240</v>
      </c>
      <c r="I525" s="77">
        <v>500</v>
      </c>
      <c r="J525" s="201">
        <f>+'PACC GENERAL 2026'!$H525*'PACC GENERAL 2026'!$I525</f>
        <v>120000</v>
      </c>
      <c r="K525" s="103"/>
      <c r="L525" s="48"/>
      <c r="M525" s="48"/>
      <c r="N525" s="48"/>
      <c r="O525" s="63" t="s">
        <v>975</v>
      </c>
      <c r="P525" s="320"/>
    </row>
    <row r="526" spans="1:16" s="97" customFormat="1" ht="15.5">
      <c r="A526" s="48" t="s">
        <v>21</v>
      </c>
      <c r="B526" s="48" t="s">
        <v>149</v>
      </c>
      <c r="C526" s="63" t="s">
        <v>94</v>
      </c>
      <c r="D526" s="155">
        <v>1250</v>
      </c>
      <c r="E526" s="231"/>
      <c r="F526" s="155"/>
      <c r="G526" s="155"/>
      <c r="H526" s="67">
        <f>+Table_1[[#This Row],[Column7]]+Table_1[[#This Row],[Column6]]+Table_1[[#This Row],[Column5]]+Table_1[[#This Row],[Column4]]</f>
        <v>1250</v>
      </c>
      <c r="I526" s="77">
        <v>300</v>
      </c>
      <c r="J526" s="201">
        <f>+'PACC GENERAL 2026'!$H526*'PACC GENERAL 2026'!$I526</f>
        <v>375000</v>
      </c>
      <c r="K526" s="103"/>
      <c r="L526" s="48"/>
      <c r="M526" s="48"/>
      <c r="N526" s="48"/>
      <c r="O526" s="63" t="s">
        <v>975</v>
      </c>
      <c r="P526" s="320"/>
    </row>
    <row r="527" spans="1:16" s="97" customFormat="1" ht="15.5">
      <c r="A527" s="48" t="s">
        <v>21</v>
      </c>
      <c r="B527" s="48" t="s">
        <v>150</v>
      </c>
      <c r="C527" s="63" t="s">
        <v>94</v>
      </c>
      <c r="D527" s="155">
        <v>1000</v>
      </c>
      <c r="E527" s="231"/>
      <c r="F527" s="155"/>
      <c r="G527" s="155"/>
      <c r="H527" s="67">
        <f>+Table_1[[#This Row],[Column7]]+Table_1[[#This Row],[Column6]]+Table_1[[#This Row],[Column5]]+Table_1[[#This Row],[Column4]]</f>
        <v>1000</v>
      </c>
      <c r="I527" s="77">
        <v>400</v>
      </c>
      <c r="J527" s="201">
        <f>+'PACC GENERAL 2026'!$H527*'PACC GENERAL 2026'!$I527</f>
        <v>400000</v>
      </c>
      <c r="K527" s="103"/>
      <c r="L527" s="48"/>
      <c r="M527" s="48"/>
      <c r="N527" s="48"/>
      <c r="O527" s="63" t="s">
        <v>975</v>
      </c>
      <c r="P527" s="320"/>
    </row>
    <row r="528" spans="1:16" s="97" customFormat="1" ht="15.5">
      <c r="A528" s="48" t="s">
        <v>21</v>
      </c>
      <c r="B528" s="48" t="s">
        <v>151</v>
      </c>
      <c r="C528" s="63" t="s">
        <v>94</v>
      </c>
      <c r="D528" s="155">
        <v>500</v>
      </c>
      <c r="E528" s="231"/>
      <c r="F528" s="155"/>
      <c r="G528" s="155"/>
      <c r="H528" s="67">
        <f>+Table_1[[#This Row],[Column7]]+Table_1[[#This Row],[Column6]]+Table_1[[#This Row],[Column5]]+Table_1[[#This Row],[Column4]]</f>
        <v>500</v>
      </c>
      <c r="I528" s="77">
        <v>500</v>
      </c>
      <c r="J528" s="201">
        <f>+'PACC GENERAL 2026'!$H528*'PACC GENERAL 2026'!$I528</f>
        <v>250000</v>
      </c>
      <c r="K528" s="103"/>
      <c r="L528" s="48"/>
      <c r="M528" s="48"/>
      <c r="N528" s="48"/>
      <c r="O528" s="63" t="s">
        <v>975</v>
      </c>
      <c r="P528" s="320"/>
    </row>
    <row r="529" spans="1:16" s="97" customFormat="1" ht="15.5">
      <c r="A529" s="31" t="s">
        <v>21</v>
      </c>
      <c r="B529" s="31" t="s">
        <v>152</v>
      </c>
      <c r="C529" s="32" t="s">
        <v>94</v>
      </c>
      <c r="D529" s="153">
        <v>800</v>
      </c>
      <c r="E529" s="137"/>
      <c r="F529" s="133"/>
      <c r="G529" s="133"/>
      <c r="H529" s="67">
        <f>+Table_1[[#This Row],[Column7]]+Table_1[[#This Row],[Column6]]+Table_1[[#This Row],[Column5]]+Table_1[[#This Row],[Column4]]</f>
        <v>800</v>
      </c>
      <c r="I529" s="38">
        <v>15000</v>
      </c>
      <c r="J529" s="34">
        <f>'PACC GENERAL 2026'!$I529*'PACC GENERAL 2026'!$H529</f>
        <v>12000000</v>
      </c>
      <c r="K529" s="35"/>
      <c r="L529" s="31"/>
      <c r="M529" s="31"/>
      <c r="N529" s="32"/>
      <c r="O529" s="32" t="s">
        <v>1001</v>
      </c>
      <c r="P529" s="320"/>
    </row>
    <row r="530" spans="1:16" s="97" customFormat="1" ht="15.5">
      <c r="A530" s="31" t="s">
        <v>21</v>
      </c>
      <c r="B530" s="31" t="s">
        <v>679</v>
      </c>
      <c r="C530" s="32" t="s">
        <v>94</v>
      </c>
      <c r="D530" s="153">
        <v>800</v>
      </c>
      <c r="E530" s="137"/>
      <c r="F530" s="133"/>
      <c r="G530" s="133"/>
      <c r="H530" s="67">
        <f>+Table_1[[#This Row],[Column7]]+Table_1[[#This Row],[Column6]]+Table_1[[#This Row],[Column5]]+Table_1[[#This Row],[Column4]]</f>
        <v>800</v>
      </c>
      <c r="I530" s="38">
        <v>5000</v>
      </c>
      <c r="J530" s="34">
        <f>'PACC GENERAL 2026'!$I530*'PACC GENERAL 2026'!$H530</f>
        <v>4000000</v>
      </c>
      <c r="K530" s="35"/>
      <c r="L530" s="31"/>
      <c r="M530" s="31"/>
      <c r="N530" s="32"/>
      <c r="O530" s="32" t="s">
        <v>1001</v>
      </c>
    </row>
    <row r="531" spans="1:16" s="97" customFormat="1" ht="15.5">
      <c r="A531" s="31" t="s">
        <v>21</v>
      </c>
      <c r="B531" s="31" t="s">
        <v>1002</v>
      </c>
      <c r="C531" s="32" t="s">
        <v>94</v>
      </c>
      <c r="D531" s="153">
        <v>70</v>
      </c>
      <c r="E531" s="137"/>
      <c r="F531" s="133"/>
      <c r="G531" s="133"/>
      <c r="H531" s="67">
        <f>+Table_1[[#This Row],[Column7]]+Table_1[[#This Row],[Column6]]+Table_1[[#This Row],[Column5]]+Table_1[[#This Row],[Column4]]</f>
        <v>70</v>
      </c>
      <c r="I531" s="38">
        <v>11875</v>
      </c>
      <c r="J531" s="34">
        <f>'PACC GENERAL 2026'!$I531*'PACC GENERAL 2026'!$H531</f>
        <v>831250</v>
      </c>
      <c r="K531" s="35"/>
      <c r="L531" s="31"/>
      <c r="M531" s="31"/>
      <c r="N531" s="32"/>
      <c r="O531" s="32" t="s">
        <v>1001</v>
      </c>
    </row>
    <row r="532" spans="1:16" s="97" customFormat="1" ht="15.5">
      <c r="A532" s="31" t="s">
        <v>21</v>
      </c>
      <c r="B532" s="31" t="s">
        <v>152</v>
      </c>
      <c r="C532" s="32" t="s">
        <v>94</v>
      </c>
      <c r="D532" s="137">
        <v>80</v>
      </c>
      <c r="E532" s="153"/>
      <c r="F532" s="133"/>
      <c r="G532" s="133"/>
      <c r="H532" s="67">
        <f>+Table_1[[#This Row],[Column7]]+Table_1[[#This Row],[Column6]]+Table_1[[#This Row],[Column5]]+Table_1[[#This Row],[Column4]]</f>
        <v>80</v>
      </c>
      <c r="I532" s="38">
        <v>15000</v>
      </c>
      <c r="J532" s="34">
        <f>'PACC GENERAL 2026'!$I532*'PACC GENERAL 2026'!$H532</f>
        <v>1200000</v>
      </c>
      <c r="K532" s="35"/>
      <c r="L532" s="31"/>
      <c r="M532" s="31"/>
      <c r="N532" s="32"/>
      <c r="O532" s="32" t="s">
        <v>1001</v>
      </c>
      <c r="P532" s="320"/>
    </row>
    <row r="533" spans="1:16" s="97" customFormat="1" ht="15.5">
      <c r="A533" s="31" t="s">
        <v>21</v>
      </c>
      <c r="B533" s="31" t="s">
        <v>150</v>
      </c>
      <c r="C533" s="32" t="s">
        <v>94</v>
      </c>
      <c r="D533" s="137"/>
      <c r="E533" s="153"/>
      <c r="F533" s="133"/>
      <c r="G533" s="133"/>
      <c r="H533" s="67">
        <f>+Table_1[[#This Row],[Column7]]+Table_1[[#This Row],[Column6]]+Table_1[[#This Row],[Column5]]+Table_1[[#This Row],[Column4]]</f>
        <v>0</v>
      </c>
      <c r="I533" s="38">
        <v>400</v>
      </c>
      <c r="J533" s="34">
        <f>'PACC GENERAL 2026'!$I533*'PACC GENERAL 2026'!$H533</f>
        <v>0</v>
      </c>
      <c r="K533" s="35"/>
      <c r="L533" s="31"/>
      <c r="M533" s="31"/>
      <c r="N533" s="32"/>
      <c r="O533" s="32"/>
    </row>
    <row r="534" spans="1:16" ht="15.5">
      <c r="A534" s="9" t="s">
        <v>21</v>
      </c>
      <c r="B534" s="10"/>
      <c r="C534" s="10"/>
      <c r="D534" s="148"/>
      <c r="E534" s="148"/>
      <c r="F534" s="148"/>
      <c r="G534" s="152"/>
      <c r="H534" s="111"/>
      <c r="I534" s="44"/>
      <c r="J534" s="12"/>
      <c r="K534" s="13">
        <f>SUM(J500:J533)</f>
        <v>43495370</v>
      </c>
      <c r="L534" s="10"/>
      <c r="M534" s="10"/>
      <c r="N534" s="10"/>
      <c r="O534" s="73"/>
      <c r="P534" s="336">
        <v>31493500</v>
      </c>
    </row>
    <row r="535" spans="1:16" s="97" customFormat="1" ht="15.5">
      <c r="A535" s="31" t="s">
        <v>354</v>
      </c>
      <c r="B535" s="31" t="s">
        <v>267</v>
      </c>
      <c r="C535" s="32" t="s">
        <v>94</v>
      </c>
      <c r="D535" s="133"/>
      <c r="E535" s="133"/>
      <c r="F535" s="133"/>
      <c r="G535" s="133"/>
      <c r="H535" s="67">
        <f>+Table_1[[#This Row],[Column7]]+Table_1[[#This Row],[Column6]]+Table_1[[#This Row],[Column5]]+Table_1[[#This Row],[Column4]]</f>
        <v>0</v>
      </c>
      <c r="I535" s="38">
        <v>1800</v>
      </c>
      <c r="J535" s="34">
        <f>'PACC GENERAL 2026'!$I535*'PACC GENERAL 2026'!$H535</f>
        <v>0</v>
      </c>
      <c r="K535" s="35"/>
      <c r="L535" s="31"/>
      <c r="M535" s="31"/>
      <c r="N535" s="32"/>
      <c r="O535" s="32"/>
      <c r="P535" s="364">
        <f>+K534-P534</f>
        <v>12001870</v>
      </c>
    </row>
    <row r="536" spans="1:16" s="97" customFormat="1" ht="15.5">
      <c r="A536" s="174" t="s">
        <v>354</v>
      </c>
      <c r="B536" s="174" t="s">
        <v>268</v>
      </c>
      <c r="C536" s="179" t="s">
        <v>94</v>
      </c>
      <c r="D536" s="182"/>
      <c r="E536" s="194"/>
      <c r="F536" s="182"/>
      <c r="G536" s="182"/>
      <c r="H536" s="67">
        <f>+Table_1[[#This Row],[Column7]]+Table_1[[#This Row],[Column6]]+Table_1[[#This Row],[Column5]]+Table_1[[#This Row],[Column4]]</f>
        <v>0</v>
      </c>
      <c r="I536" s="177">
        <v>1550</v>
      </c>
      <c r="J536" s="201">
        <f>'PACC GENERAL 2026'!$I536*'PACC GENERAL 2026'!$H536</f>
        <v>0</v>
      </c>
      <c r="K536" s="186"/>
      <c r="L536" s="174"/>
      <c r="M536" s="174"/>
      <c r="N536" s="179"/>
      <c r="O536" s="179"/>
      <c r="P536" s="364">
        <f>10743920-P535</f>
        <v>-1257950</v>
      </c>
    </row>
    <row r="537" spans="1:16" s="97" customFormat="1" ht="15.5">
      <c r="A537" s="31" t="s">
        <v>354</v>
      </c>
      <c r="B537" s="31" t="s">
        <v>269</v>
      </c>
      <c r="C537" s="32" t="s">
        <v>94</v>
      </c>
      <c r="D537" s="133"/>
      <c r="E537" s="137"/>
      <c r="F537" s="133"/>
      <c r="G537" s="133"/>
      <c r="H537" s="67">
        <f>+Table_1[[#This Row],[Column7]]+Table_1[[#This Row],[Column6]]+Table_1[[#This Row],[Column5]]+Table_1[[#This Row],[Column4]]</f>
        <v>0</v>
      </c>
      <c r="I537" s="38">
        <v>6000</v>
      </c>
      <c r="J537" s="34">
        <f>'PACC GENERAL 2026'!$I537*'PACC GENERAL 2026'!$H537</f>
        <v>0</v>
      </c>
      <c r="K537" s="35"/>
      <c r="L537" s="31"/>
      <c r="M537" s="31"/>
      <c r="N537" s="32"/>
      <c r="O537" s="32"/>
    </row>
    <row r="538" spans="1:16" ht="15.5">
      <c r="A538" s="9" t="s">
        <v>354</v>
      </c>
      <c r="B538" s="10"/>
      <c r="C538" s="10"/>
      <c r="D538" s="148"/>
      <c r="E538" s="148"/>
      <c r="F538" s="148"/>
      <c r="G538" s="152"/>
      <c r="H538" s="111"/>
      <c r="I538" s="44"/>
      <c r="J538" s="12"/>
      <c r="K538" s="13">
        <f>SUM(J535:J537)</f>
        <v>0</v>
      </c>
      <c r="L538" s="10"/>
      <c r="M538" s="10"/>
      <c r="N538" s="10"/>
      <c r="O538" s="73"/>
    </row>
    <row r="539" spans="1:16" s="97" customFormat="1" ht="15.5">
      <c r="A539" s="31" t="s">
        <v>22</v>
      </c>
      <c r="B539" s="31" t="s">
        <v>554</v>
      </c>
      <c r="C539" s="32" t="s">
        <v>94</v>
      </c>
      <c r="D539" s="133"/>
      <c r="E539" s="137">
        <f>150+10</f>
        <v>160</v>
      </c>
      <c r="F539" s="153"/>
      <c r="G539" s="133"/>
      <c r="H539" s="67">
        <f>+Table_1[[#This Row],[Column7]]+Table_1[[#This Row],[Column6]]+Table_1[[#This Row],[Column5]]+Table_1[[#This Row],[Column4]]</f>
        <v>160</v>
      </c>
      <c r="I539" s="38">
        <v>5100</v>
      </c>
      <c r="J539" s="34">
        <f>'PACC GENERAL 2026'!$I539*'PACC GENERAL 2026'!$H539</f>
        <v>816000</v>
      </c>
      <c r="K539" s="35"/>
      <c r="L539" s="31"/>
      <c r="M539" s="31"/>
      <c r="N539" s="31"/>
      <c r="O539" s="32" t="s">
        <v>1443</v>
      </c>
      <c r="P539" s="320"/>
    </row>
    <row r="540" spans="1:16" s="97" customFormat="1" ht="31">
      <c r="A540" s="31" t="s">
        <v>22</v>
      </c>
      <c r="B540" s="31" t="s">
        <v>707</v>
      </c>
      <c r="C540" s="32" t="s">
        <v>94</v>
      </c>
      <c r="D540" s="133"/>
      <c r="E540" s="139">
        <f>100+10+250</f>
        <v>360</v>
      </c>
      <c r="F540" s="137"/>
      <c r="G540" s="380">
        <v>40</v>
      </c>
      <c r="H540" s="67">
        <f>+Table_1[[#This Row],[Column7]]+Table_1[[#This Row],[Column6]]+Table_1[[#This Row],[Column5]]+Table_1[[#This Row],[Column4]]</f>
        <v>400</v>
      </c>
      <c r="I540" s="38">
        <v>3800</v>
      </c>
      <c r="J540" s="34">
        <f>'PACC GENERAL 2026'!$I540*'PACC GENERAL 2026'!$H540</f>
        <v>1520000</v>
      </c>
      <c r="K540" s="35"/>
      <c r="L540" s="31"/>
      <c r="M540" s="31"/>
      <c r="N540" s="31"/>
      <c r="O540" s="32" t="s">
        <v>1510</v>
      </c>
      <c r="P540" s="320"/>
    </row>
    <row r="541" spans="1:16" s="287" customFormat="1" ht="31">
      <c r="A541" s="36" t="s">
        <v>22</v>
      </c>
      <c r="B541" s="36" t="s">
        <v>708</v>
      </c>
      <c r="C541" s="37" t="s">
        <v>94</v>
      </c>
      <c r="D541" s="138"/>
      <c r="E541" s="213">
        <f>100+10+250</f>
        <v>360</v>
      </c>
      <c r="F541" s="380"/>
      <c r="G541" s="138"/>
      <c r="H541" s="110">
        <f>+Table_1[[#This Row],[Column7]]+Table_1[[#This Row],[Column6]]+Table_1[[#This Row],[Column5]]+Table_1[[#This Row],[Column4]]</f>
        <v>360</v>
      </c>
      <c r="I541" s="38">
        <v>4700</v>
      </c>
      <c r="J541" s="39">
        <f>'PACC GENERAL 2026'!$I541*'PACC GENERAL 2026'!$H541</f>
        <v>1692000</v>
      </c>
      <c r="K541" s="40"/>
      <c r="L541" s="36"/>
      <c r="M541" s="36"/>
      <c r="N541" s="36"/>
      <c r="O541" s="37" t="s">
        <v>1444</v>
      </c>
      <c r="P541" s="323"/>
    </row>
    <row r="542" spans="1:16" s="97" customFormat="1" ht="15.5">
      <c r="A542" s="31" t="s">
        <v>22</v>
      </c>
      <c r="B542" s="31" t="s">
        <v>706</v>
      </c>
      <c r="C542" s="32" t="s">
        <v>94</v>
      </c>
      <c r="D542" s="133"/>
      <c r="E542" s="137">
        <v>250</v>
      </c>
      <c r="F542" s="153"/>
      <c r="G542" s="133"/>
      <c r="H542" s="67">
        <f>+Table_1[[#This Row],[Column7]]+Table_1[[#This Row],[Column6]]+Table_1[[#This Row],[Column5]]+Table_1[[#This Row],[Column4]]</f>
        <v>250</v>
      </c>
      <c r="I542" s="38">
        <v>1200</v>
      </c>
      <c r="J542" s="34">
        <f>'PACC GENERAL 2026'!$I542*'PACC GENERAL 2026'!$H542</f>
        <v>300000</v>
      </c>
      <c r="K542" s="35"/>
      <c r="L542" s="31"/>
      <c r="M542" s="31"/>
      <c r="N542" s="31"/>
      <c r="O542" s="32" t="s">
        <v>434</v>
      </c>
      <c r="P542" s="320"/>
    </row>
    <row r="543" spans="1:16" s="287" customFormat="1" ht="15.5">
      <c r="A543" s="36" t="s">
        <v>22</v>
      </c>
      <c r="B543" s="36" t="s">
        <v>555</v>
      </c>
      <c r="C543" s="37" t="s">
        <v>94</v>
      </c>
      <c r="D543" s="138"/>
      <c r="E543" s="213">
        <f>200+5</f>
        <v>205</v>
      </c>
      <c r="F543" s="380"/>
      <c r="G543" s="138"/>
      <c r="H543" s="110">
        <f>+Table_1[[#This Row],[Column7]]+Table_1[[#This Row],[Column6]]+Table_1[[#This Row],[Column5]]+Table_1[[#This Row],[Column4]]</f>
        <v>205</v>
      </c>
      <c r="I543" s="38">
        <v>350</v>
      </c>
      <c r="J543" s="39">
        <f>'PACC GENERAL 2026'!$I543*'PACC GENERAL 2026'!$H543</f>
        <v>71750</v>
      </c>
      <c r="K543" s="40"/>
      <c r="L543" s="36"/>
      <c r="M543" s="36"/>
      <c r="N543" s="36"/>
      <c r="O543" s="37" t="s">
        <v>1445</v>
      </c>
    </row>
    <row r="544" spans="1:16" s="97" customFormat="1" ht="15.5">
      <c r="A544" s="31" t="s">
        <v>22</v>
      </c>
      <c r="B544" s="31" t="s">
        <v>556</v>
      </c>
      <c r="C544" s="32" t="s">
        <v>94</v>
      </c>
      <c r="D544" s="137"/>
      <c r="E544" s="133">
        <v>5</v>
      </c>
      <c r="F544" s="153"/>
      <c r="G544" s="133"/>
      <c r="H544" s="67">
        <f>+Table_1[[#This Row],[Column7]]+Table_1[[#This Row],[Column6]]+Table_1[[#This Row],[Column5]]+Table_1[[#This Row],[Column4]]</f>
        <v>5</v>
      </c>
      <c r="I544" s="38">
        <v>300</v>
      </c>
      <c r="J544" s="34">
        <f>'PACC GENERAL 2026'!$I544*'PACC GENERAL 2026'!$H544</f>
        <v>1500</v>
      </c>
      <c r="K544" s="35"/>
      <c r="L544" s="31"/>
      <c r="M544" s="31"/>
      <c r="N544" s="31"/>
      <c r="O544" s="32" t="s">
        <v>1001</v>
      </c>
    </row>
    <row r="545" spans="1:16" s="287" customFormat="1" ht="15.5">
      <c r="A545" s="36" t="s">
        <v>22</v>
      </c>
      <c r="B545" s="36" t="s">
        <v>153</v>
      </c>
      <c r="C545" s="37" t="s">
        <v>94</v>
      </c>
      <c r="D545" s="138"/>
      <c r="E545" s="213">
        <v>100</v>
      </c>
      <c r="F545" s="380"/>
      <c r="G545" s="138"/>
      <c r="H545" s="110">
        <f>+Table_1[[#This Row],[Column7]]+Table_1[[#This Row],[Column6]]+Table_1[[#This Row],[Column5]]+Table_1[[#This Row],[Column4]]</f>
        <v>100</v>
      </c>
      <c r="I545" s="38">
        <v>2500</v>
      </c>
      <c r="J545" s="39">
        <f>'PACC GENERAL 2026'!$I545*'PACC GENERAL 2026'!$H545</f>
        <v>250000</v>
      </c>
      <c r="K545" s="40"/>
      <c r="L545" s="36"/>
      <c r="M545" s="36"/>
      <c r="N545" s="36"/>
      <c r="O545" s="37" t="s">
        <v>1446</v>
      </c>
      <c r="P545" s="323"/>
    </row>
    <row r="546" spans="1:16" s="97" customFormat="1" ht="15.5">
      <c r="A546" s="31" t="s">
        <v>22</v>
      </c>
      <c r="B546" s="31" t="s">
        <v>1261</v>
      </c>
      <c r="C546" s="32" t="s">
        <v>94</v>
      </c>
      <c r="D546" s="133"/>
      <c r="E546" s="137">
        <v>20</v>
      </c>
      <c r="F546" s="153"/>
      <c r="G546" s="133"/>
      <c r="H546" s="67">
        <f>+Table_1[[#This Row],[Column7]]+Table_1[[#This Row],[Column6]]+Table_1[[#This Row],[Column5]]+Table_1[[#This Row],[Column4]]</f>
        <v>20</v>
      </c>
      <c r="I546" s="38">
        <v>5000</v>
      </c>
      <c r="J546" s="34">
        <f>'PACC GENERAL 2026'!$I546*'PACC GENERAL 2026'!$H546</f>
        <v>100000</v>
      </c>
      <c r="K546" s="35"/>
      <c r="L546" s="31"/>
      <c r="M546" s="31"/>
      <c r="N546" s="31"/>
      <c r="O546" s="32" t="s">
        <v>1224</v>
      </c>
      <c r="P546" s="320"/>
    </row>
    <row r="547" spans="1:16" ht="15.5">
      <c r="A547" s="9" t="s">
        <v>22</v>
      </c>
      <c r="B547" s="10" t="s">
        <v>117</v>
      </c>
      <c r="C547" s="10"/>
      <c r="D547" s="152"/>
      <c r="E547" s="152"/>
      <c r="F547" s="152"/>
      <c r="G547" s="152"/>
      <c r="H547" s="111"/>
      <c r="I547" s="44"/>
      <c r="J547" s="12"/>
      <c r="K547" s="13">
        <f>SUM(J539:J546)</f>
        <v>4751250</v>
      </c>
      <c r="L547" s="10"/>
      <c r="M547" s="10"/>
      <c r="N547" s="10"/>
      <c r="O547" s="73"/>
    </row>
    <row r="548" spans="1:16" s="97" customFormat="1" ht="15.5">
      <c r="A548" s="31" t="s">
        <v>23</v>
      </c>
      <c r="B548" s="104" t="s">
        <v>557</v>
      </c>
      <c r="C548" s="32" t="s">
        <v>94</v>
      </c>
      <c r="D548" s="137"/>
      <c r="E548" s="153"/>
      <c r="F548" s="137"/>
      <c r="G548" s="133"/>
      <c r="H548" s="67">
        <f>+Table_1[[#This Row],[Column7]]+Table_1[[#This Row],[Column6]]+Table_1[[#This Row],[Column5]]+Table_1[[#This Row],[Column4]]</f>
        <v>0</v>
      </c>
      <c r="I548" s="38">
        <v>1420</v>
      </c>
      <c r="J548" s="34">
        <f>'PACC GENERAL 2026'!$I548*'PACC GENERAL 2026'!$H548</f>
        <v>0</v>
      </c>
      <c r="K548" s="35"/>
      <c r="L548" s="35"/>
      <c r="M548" s="35"/>
      <c r="N548" s="35"/>
      <c r="O548" s="32"/>
    </row>
    <row r="549" spans="1:16" s="97" customFormat="1" ht="15.5">
      <c r="A549" s="31" t="s">
        <v>23</v>
      </c>
      <c r="B549" s="104" t="s">
        <v>558</v>
      </c>
      <c r="C549" s="32" t="s">
        <v>94</v>
      </c>
      <c r="D549" s="137"/>
      <c r="E549" s="137"/>
      <c r="F549" s="153">
        <v>7</v>
      </c>
      <c r="G549" s="133"/>
      <c r="H549" s="67">
        <f>+Table_1[[#This Row],[Column7]]+Table_1[[#This Row],[Column6]]+Table_1[[#This Row],[Column5]]+Table_1[[#This Row],[Column4]]</f>
        <v>7</v>
      </c>
      <c r="I549" s="38">
        <v>360603.516</v>
      </c>
      <c r="J549" s="34">
        <f>+'PACC GENERAL 2026'!$H549*'PACC GENERAL 2026'!$I549</f>
        <v>2524224.6120000002</v>
      </c>
      <c r="K549" s="35"/>
      <c r="L549" s="35"/>
      <c r="M549" s="35"/>
      <c r="N549" s="35"/>
      <c r="O549" s="32" t="s">
        <v>1224</v>
      </c>
    </row>
    <row r="550" spans="1:16" s="97" customFormat="1" ht="15.5">
      <c r="A550" s="31" t="s">
        <v>23</v>
      </c>
      <c r="B550" s="31" t="s">
        <v>560</v>
      </c>
      <c r="C550" s="32"/>
      <c r="D550" s="137"/>
      <c r="E550" s="137"/>
      <c r="F550" s="137"/>
      <c r="G550" s="133"/>
      <c r="H550" s="67">
        <f>+Table_1[[#This Row],[Column7]]+Table_1[[#This Row],[Column6]]+Table_1[[#This Row],[Column5]]+Table_1[[#This Row],[Column4]]</f>
        <v>0</v>
      </c>
      <c r="I550" s="38">
        <v>2647.9199999999996</v>
      </c>
      <c r="J550" s="34">
        <f>+'PACC GENERAL 2026'!$H550*'PACC GENERAL 2026'!$I550</f>
        <v>0</v>
      </c>
      <c r="K550" s="35"/>
      <c r="L550" s="35"/>
      <c r="M550" s="35"/>
      <c r="N550" s="35"/>
      <c r="O550" s="32"/>
    </row>
    <row r="551" spans="1:16" s="97" customFormat="1" ht="15.5">
      <c r="A551" s="31" t="s">
        <v>23</v>
      </c>
      <c r="B551" s="31" t="s">
        <v>557</v>
      </c>
      <c r="C551" s="32" t="s">
        <v>94</v>
      </c>
      <c r="D551" s="137"/>
      <c r="E551" s="137"/>
      <c r="F551" s="137">
        <v>10</v>
      </c>
      <c r="G551" s="133"/>
      <c r="H551" s="67">
        <f>+Table_1[[#This Row],[Column7]]+Table_1[[#This Row],[Column6]]+Table_1[[#This Row],[Column5]]+Table_1[[#This Row],[Column4]]</f>
        <v>10</v>
      </c>
      <c r="I551" s="38">
        <v>1420</v>
      </c>
      <c r="J551" s="34">
        <f>+'PACC GENERAL 2026'!$H551*'PACC GENERAL 2026'!$I551</f>
        <v>14200</v>
      </c>
      <c r="K551" s="35"/>
      <c r="L551" s="35"/>
      <c r="M551" s="35"/>
      <c r="N551" s="35"/>
      <c r="O551" s="32" t="s">
        <v>1001</v>
      </c>
      <c r="P551" s="320"/>
    </row>
    <row r="552" spans="1:16" s="97" customFormat="1" ht="15.5">
      <c r="A552" s="31" t="s">
        <v>23</v>
      </c>
      <c r="B552" s="31" t="s">
        <v>769</v>
      </c>
      <c r="C552" s="32" t="s">
        <v>94</v>
      </c>
      <c r="D552" s="137"/>
      <c r="E552" s="137"/>
      <c r="F552" s="137">
        <v>2</v>
      </c>
      <c r="G552" s="133"/>
      <c r="H552" s="67">
        <f>+Table_1[[#This Row],[Column7]]+Table_1[[#This Row],[Column6]]+Table_1[[#This Row],[Column5]]+Table_1[[#This Row],[Column4]]</f>
        <v>2</v>
      </c>
      <c r="I552" s="38">
        <v>200000</v>
      </c>
      <c r="J552" s="34">
        <f>+'PACC GENERAL 2026'!$H552*'PACC GENERAL 2026'!$I552</f>
        <v>400000</v>
      </c>
      <c r="K552" s="35"/>
      <c r="L552" s="35"/>
      <c r="M552" s="35"/>
      <c r="N552" s="35"/>
      <c r="O552" s="32" t="s">
        <v>1001</v>
      </c>
      <c r="P552" s="320"/>
    </row>
    <row r="553" spans="1:16" s="97" customFormat="1" ht="15.5">
      <c r="A553" s="31" t="s">
        <v>23</v>
      </c>
      <c r="B553" s="31" t="s">
        <v>559</v>
      </c>
      <c r="C553" s="32" t="s">
        <v>94</v>
      </c>
      <c r="D553" s="137"/>
      <c r="E553" s="137"/>
      <c r="F553" s="137">
        <v>10</v>
      </c>
      <c r="G553" s="133"/>
      <c r="H553" s="67">
        <f>+Table_1[[#This Row],[Column7]]+Table_1[[#This Row],[Column6]]+Table_1[[#This Row],[Column5]]+Table_1[[#This Row],[Column4]]</f>
        <v>10</v>
      </c>
      <c r="I553" s="38">
        <v>8500</v>
      </c>
      <c r="J553" s="34">
        <f>+'PACC GENERAL 2026'!$H553*'PACC GENERAL 2026'!$I553</f>
        <v>85000</v>
      </c>
      <c r="K553" s="35"/>
      <c r="L553" s="35"/>
      <c r="M553" s="35"/>
      <c r="N553" s="35"/>
      <c r="O553" s="32" t="s">
        <v>1001</v>
      </c>
      <c r="P553" s="320"/>
    </row>
    <row r="554" spans="1:16" s="97" customFormat="1" ht="15.5">
      <c r="A554" s="31" t="s">
        <v>23</v>
      </c>
      <c r="B554" s="31" t="s">
        <v>573</v>
      </c>
      <c r="C554" s="32" t="s">
        <v>94</v>
      </c>
      <c r="D554" s="137"/>
      <c r="E554" s="137"/>
      <c r="F554" s="137">
        <v>10</v>
      </c>
      <c r="G554" s="133"/>
      <c r="H554" s="67">
        <f>+Table_1[[#This Row],[Column7]]+Table_1[[#This Row],[Column6]]+Table_1[[#This Row],[Column5]]+Table_1[[#This Row],[Column4]]</f>
        <v>10</v>
      </c>
      <c r="I554" s="38">
        <v>10000</v>
      </c>
      <c r="J554" s="34">
        <f>+'PACC GENERAL 2026'!$H554*'PACC GENERAL 2026'!$I554</f>
        <v>100000</v>
      </c>
      <c r="K554" s="35"/>
      <c r="L554" s="35"/>
      <c r="M554" s="35"/>
      <c r="N554" s="35"/>
      <c r="O554" s="32" t="s">
        <v>1001</v>
      </c>
      <c r="P554" s="320"/>
    </row>
    <row r="555" spans="1:16" s="97" customFormat="1" ht="15.5">
      <c r="A555" s="31" t="s">
        <v>23</v>
      </c>
      <c r="B555" s="31" t="s">
        <v>574</v>
      </c>
      <c r="C555" s="32" t="s">
        <v>94</v>
      </c>
      <c r="D555" s="137"/>
      <c r="E555" s="137"/>
      <c r="F555" s="137">
        <v>10</v>
      </c>
      <c r="G555" s="133"/>
      <c r="H555" s="67">
        <f>+Table_1[[#This Row],[Column7]]+Table_1[[#This Row],[Column6]]+Table_1[[#This Row],[Column5]]+Table_1[[#This Row],[Column4]]</f>
        <v>10</v>
      </c>
      <c r="I555" s="38">
        <v>8000</v>
      </c>
      <c r="J555" s="34">
        <f>+'PACC GENERAL 2026'!$H555*'PACC GENERAL 2026'!$I555</f>
        <v>80000</v>
      </c>
      <c r="K555" s="35"/>
      <c r="L555" s="35"/>
      <c r="M555" s="35"/>
      <c r="N555" s="35"/>
      <c r="O555" s="32" t="s">
        <v>1001</v>
      </c>
      <c r="P555" s="320"/>
    </row>
    <row r="556" spans="1:16" s="97" customFormat="1" ht="15.5">
      <c r="A556" s="31" t="s">
        <v>23</v>
      </c>
      <c r="B556" s="31" t="s">
        <v>579</v>
      </c>
      <c r="C556" s="32" t="s">
        <v>94</v>
      </c>
      <c r="D556" s="137"/>
      <c r="E556" s="137"/>
      <c r="F556" s="137">
        <v>10</v>
      </c>
      <c r="G556" s="133"/>
      <c r="H556" s="67">
        <f>+Table_1[[#This Row],[Column7]]+Table_1[[#This Row],[Column6]]+Table_1[[#This Row],[Column5]]+Table_1[[#This Row],[Column4]]</f>
        <v>10</v>
      </c>
      <c r="I556" s="38">
        <v>8000</v>
      </c>
      <c r="J556" s="34">
        <f>+'PACC GENERAL 2026'!$H556*'PACC GENERAL 2026'!$I556</f>
        <v>80000</v>
      </c>
      <c r="K556" s="35"/>
      <c r="L556" s="35"/>
      <c r="M556" s="35"/>
      <c r="N556" s="35"/>
      <c r="O556" s="32" t="s">
        <v>1001</v>
      </c>
      <c r="P556" s="320"/>
    </row>
    <row r="557" spans="1:16" s="97" customFormat="1" ht="15.5">
      <c r="A557" s="31" t="s">
        <v>23</v>
      </c>
      <c r="B557" s="31" t="s">
        <v>575</v>
      </c>
      <c r="C557" s="32" t="s">
        <v>94</v>
      </c>
      <c r="D557" s="137"/>
      <c r="E557" s="137"/>
      <c r="F557" s="137">
        <v>10</v>
      </c>
      <c r="G557" s="133"/>
      <c r="H557" s="67">
        <f>+Table_1[[#This Row],[Column7]]+Table_1[[#This Row],[Column6]]+Table_1[[#This Row],[Column5]]+Table_1[[#This Row],[Column4]]</f>
        <v>10</v>
      </c>
      <c r="I557" s="38">
        <v>16000</v>
      </c>
      <c r="J557" s="34">
        <f>+'PACC GENERAL 2026'!$H557*'PACC GENERAL 2026'!$I557</f>
        <v>160000</v>
      </c>
      <c r="K557" s="35"/>
      <c r="L557" s="35"/>
      <c r="M557" s="35"/>
      <c r="N557" s="35"/>
      <c r="O557" s="32" t="s">
        <v>1001</v>
      </c>
      <c r="P557" s="320"/>
    </row>
    <row r="558" spans="1:16" s="97" customFormat="1" ht="15.5">
      <c r="A558" s="31" t="s">
        <v>23</v>
      </c>
      <c r="B558" s="31" t="s">
        <v>577</v>
      </c>
      <c r="C558" s="32" t="s">
        <v>94</v>
      </c>
      <c r="D558" s="137"/>
      <c r="E558" s="137"/>
      <c r="F558" s="137">
        <v>10</v>
      </c>
      <c r="G558" s="133"/>
      <c r="H558" s="67">
        <f>+Table_1[[#This Row],[Column7]]+Table_1[[#This Row],[Column6]]+Table_1[[#This Row],[Column5]]+Table_1[[#This Row],[Column4]]</f>
        <v>10</v>
      </c>
      <c r="I558" s="38">
        <v>8000</v>
      </c>
      <c r="J558" s="34">
        <f>+'PACC GENERAL 2026'!$H558*'PACC GENERAL 2026'!$I558</f>
        <v>80000</v>
      </c>
      <c r="K558" s="35"/>
      <c r="L558" s="35"/>
      <c r="M558" s="35"/>
      <c r="N558" s="35"/>
      <c r="O558" s="32" t="s">
        <v>1001</v>
      </c>
      <c r="P558" s="320"/>
    </row>
    <row r="559" spans="1:16" s="97" customFormat="1" ht="15.5">
      <c r="A559" s="31" t="s">
        <v>23</v>
      </c>
      <c r="B559" s="31" t="s">
        <v>576</v>
      </c>
      <c r="C559" s="32" t="s">
        <v>94</v>
      </c>
      <c r="D559" s="137"/>
      <c r="E559" s="137"/>
      <c r="F559" s="137">
        <v>15</v>
      </c>
      <c r="G559" s="133"/>
      <c r="H559" s="67">
        <f>+Table_1[[#This Row],[Column7]]+Table_1[[#This Row],[Column6]]+Table_1[[#This Row],[Column5]]+Table_1[[#This Row],[Column4]]</f>
        <v>15</v>
      </c>
      <c r="I559" s="38">
        <v>500</v>
      </c>
      <c r="J559" s="34">
        <f>+'PACC GENERAL 2026'!$H559*'PACC GENERAL 2026'!$I559</f>
        <v>7500</v>
      </c>
      <c r="K559" s="35"/>
      <c r="L559" s="35"/>
      <c r="M559" s="35"/>
      <c r="N559" s="35"/>
      <c r="O559" s="32" t="s">
        <v>1001</v>
      </c>
      <c r="P559" s="320"/>
    </row>
    <row r="560" spans="1:16" s="97" customFormat="1" ht="15.5">
      <c r="A560" s="31" t="s">
        <v>23</v>
      </c>
      <c r="B560" s="31" t="s">
        <v>578</v>
      </c>
      <c r="C560" s="32" t="s">
        <v>94</v>
      </c>
      <c r="D560" s="137"/>
      <c r="E560" s="137"/>
      <c r="F560" s="137">
        <v>10</v>
      </c>
      <c r="G560" s="133"/>
      <c r="H560" s="67">
        <f>+Table_1[[#This Row],[Column7]]+Table_1[[#This Row],[Column6]]+Table_1[[#This Row],[Column5]]+Table_1[[#This Row],[Column4]]</f>
        <v>10</v>
      </c>
      <c r="I560" s="38">
        <v>490</v>
      </c>
      <c r="J560" s="34">
        <f>+'PACC GENERAL 2026'!$H560*'PACC GENERAL 2026'!$I560</f>
        <v>4900</v>
      </c>
      <c r="K560" s="35"/>
      <c r="L560" s="35"/>
      <c r="M560" s="35"/>
      <c r="N560" s="35"/>
      <c r="O560" s="32" t="s">
        <v>1001</v>
      </c>
      <c r="P560" s="320"/>
    </row>
    <row r="561" spans="1:16" s="97" customFormat="1" ht="15.5">
      <c r="A561" s="31" t="s">
        <v>23</v>
      </c>
      <c r="B561" s="31" t="s">
        <v>580</v>
      </c>
      <c r="C561" s="32" t="s">
        <v>94</v>
      </c>
      <c r="D561" s="137"/>
      <c r="E561" s="137"/>
      <c r="F561" s="137">
        <v>15</v>
      </c>
      <c r="G561" s="133"/>
      <c r="H561" s="67">
        <f>+Table_1[[#This Row],[Column7]]+Table_1[[#This Row],[Column6]]+Table_1[[#This Row],[Column5]]+Table_1[[#This Row],[Column4]]</f>
        <v>15</v>
      </c>
      <c r="I561" s="38">
        <v>10000</v>
      </c>
      <c r="J561" s="34">
        <f>+'PACC GENERAL 2026'!$H561*'PACC GENERAL 2026'!$I561</f>
        <v>150000</v>
      </c>
      <c r="K561" s="35"/>
      <c r="L561" s="35"/>
      <c r="M561" s="35"/>
      <c r="N561" s="35"/>
      <c r="O561" s="32" t="s">
        <v>1001</v>
      </c>
      <c r="P561" s="320"/>
    </row>
    <row r="562" spans="1:16" s="97" customFormat="1" ht="15.5">
      <c r="A562" s="31" t="s">
        <v>23</v>
      </c>
      <c r="B562" s="31" t="s">
        <v>581</v>
      </c>
      <c r="C562" s="32" t="s">
        <v>94</v>
      </c>
      <c r="D562" s="137"/>
      <c r="E562" s="137"/>
      <c r="F562" s="137">
        <v>10</v>
      </c>
      <c r="G562" s="133"/>
      <c r="H562" s="67">
        <f>+Table_1[[#This Row],[Column7]]+Table_1[[#This Row],[Column6]]+Table_1[[#This Row],[Column5]]+Table_1[[#This Row],[Column4]]</f>
        <v>10</v>
      </c>
      <c r="I562" s="38">
        <v>10000</v>
      </c>
      <c r="J562" s="34">
        <f>+'PACC GENERAL 2026'!$H562*'PACC GENERAL 2026'!$I562</f>
        <v>100000</v>
      </c>
      <c r="K562" s="35"/>
      <c r="L562" s="35"/>
      <c r="M562" s="35"/>
      <c r="N562" s="35"/>
      <c r="O562" s="32" t="s">
        <v>1001</v>
      </c>
      <c r="P562" s="320"/>
    </row>
    <row r="563" spans="1:16" s="97" customFormat="1" ht="15.5">
      <c r="A563" s="31" t="s">
        <v>23</v>
      </c>
      <c r="B563" s="31" t="s">
        <v>582</v>
      </c>
      <c r="C563" s="32"/>
      <c r="D563" s="137"/>
      <c r="E563" s="137"/>
      <c r="F563" s="137">
        <v>15</v>
      </c>
      <c r="G563" s="133"/>
      <c r="H563" s="67">
        <f>+Table_1[[#This Row],[Column7]]+Table_1[[#This Row],[Column6]]+Table_1[[#This Row],[Column5]]+Table_1[[#This Row],[Column4]]</f>
        <v>15</v>
      </c>
      <c r="I563" s="38">
        <v>200</v>
      </c>
      <c r="J563" s="34">
        <f>+'PACC GENERAL 2026'!$H563*'PACC GENERAL 2026'!$I563</f>
        <v>3000</v>
      </c>
      <c r="K563" s="35"/>
      <c r="L563" s="35"/>
      <c r="M563" s="35"/>
      <c r="N563" s="35"/>
      <c r="O563" s="32" t="s">
        <v>1001</v>
      </c>
      <c r="P563" s="320"/>
    </row>
    <row r="564" spans="1:16" s="97" customFormat="1" ht="15.5">
      <c r="A564" s="31" t="s">
        <v>23</v>
      </c>
      <c r="B564" s="31" t="s">
        <v>1021</v>
      </c>
      <c r="C564" s="32" t="s">
        <v>94</v>
      </c>
      <c r="D564" s="137">
        <v>9</v>
      </c>
      <c r="E564" s="275"/>
      <c r="F564" s="137"/>
      <c r="G564" s="133"/>
      <c r="H564" s="67">
        <f>+Table_1[[#This Row],[Column7]]+Table_1[[#This Row],[Column6]]+Table_1[[#This Row],[Column5]]+Table_1[[#This Row],[Column4]]</f>
        <v>9</v>
      </c>
      <c r="I564" s="38">
        <v>45000</v>
      </c>
      <c r="J564" s="34">
        <f>+'PACC GENERAL 2026'!$H564*'PACC GENERAL 2026'!$I564</f>
        <v>405000</v>
      </c>
      <c r="K564" s="35"/>
      <c r="L564" s="35"/>
      <c r="M564" s="35"/>
      <c r="N564" s="35"/>
      <c r="O564" s="326" t="s">
        <v>1018</v>
      </c>
      <c r="P564" s="320"/>
    </row>
    <row r="565" spans="1:16" s="97" customFormat="1" ht="15.5">
      <c r="A565" s="31" t="s">
        <v>23</v>
      </c>
      <c r="B565" s="31" t="s">
        <v>1022</v>
      </c>
      <c r="C565" s="32" t="s">
        <v>94</v>
      </c>
      <c r="D565" s="137">
        <v>9</v>
      </c>
      <c r="E565" s="275"/>
      <c r="F565" s="137"/>
      <c r="G565" s="133"/>
      <c r="H565" s="67">
        <f>+Table_1[[#This Row],[Column7]]+Table_1[[#This Row],[Column6]]+Table_1[[#This Row],[Column5]]+Table_1[[#This Row],[Column4]]</f>
        <v>9</v>
      </c>
      <c r="I565" s="38">
        <v>78000</v>
      </c>
      <c r="J565" s="34">
        <f>+'PACC GENERAL 2026'!$H565*'PACC GENERAL 2026'!$I565</f>
        <v>702000</v>
      </c>
      <c r="K565" s="35"/>
      <c r="L565" s="35"/>
      <c r="M565" s="35"/>
      <c r="N565" s="35"/>
      <c r="O565" s="326" t="s">
        <v>1018</v>
      </c>
      <c r="P565" s="320"/>
    </row>
    <row r="566" spans="1:16" s="97" customFormat="1" ht="15.5">
      <c r="A566" s="31" t="s">
        <v>23</v>
      </c>
      <c r="B566" s="31" t="s">
        <v>1023</v>
      </c>
      <c r="C566" s="32" t="s">
        <v>94</v>
      </c>
      <c r="D566" s="137">
        <v>9</v>
      </c>
      <c r="E566" s="275"/>
      <c r="F566" s="137"/>
      <c r="G566" s="133"/>
      <c r="H566" s="67">
        <f>+Table_1[[#This Row],[Column7]]+Table_1[[#This Row],[Column6]]+Table_1[[#This Row],[Column5]]+Table_1[[#This Row],[Column4]]</f>
        <v>9</v>
      </c>
      <c r="I566" s="38">
        <v>95000</v>
      </c>
      <c r="J566" s="34">
        <f>+'PACC GENERAL 2026'!$H566*'PACC GENERAL 2026'!$I566</f>
        <v>855000</v>
      </c>
      <c r="K566" s="35"/>
      <c r="L566" s="35"/>
      <c r="M566" s="35"/>
      <c r="N566" s="35"/>
      <c r="O566" s="326" t="s">
        <v>1018</v>
      </c>
      <c r="P566" s="320"/>
    </row>
    <row r="567" spans="1:16" s="97" customFormat="1" ht="15.5">
      <c r="A567" s="31" t="s">
        <v>23</v>
      </c>
      <c r="B567" s="31" t="s">
        <v>1024</v>
      </c>
      <c r="C567" s="32" t="s">
        <v>94</v>
      </c>
      <c r="D567" s="137">
        <v>9</v>
      </c>
      <c r="E567" s="275"/>
      <c r="F567" s="137"/>
      <c r="G567" s="133"/>
      <c r="H567" s="67">
        <f>+Table_1[[#This Row],[Column7]]+Table_1[[#This Row],[Column6]]+Table_1[[#This Row],[Column5]]+Table_1[[#This Row],[Column4]]</f>
        <v>9</v>
      </c>
      <c r="I567" s="38">
        <v>105000</v>
      </c>
      <c r="J567" s="34">
        <f>+'PACC GENERAL 2026'!$H567*'PACC GENERAL 2026'!$I567</f>
        <v>945000</v>
      </c>
      <c r="K567" s="35"/>
      <c r="L567" s="35"/>
      <c r="M567" s="35"/>
      <c r="N567" s="35"/>
      <c r="O567" s="326" t="s">
        <v>1018</v>
      </c>
      <c r="P567" s="320"/>
    </row>
    <row r="568" spans="1:16" s="97" customFormat="1" ht="15.5">
      <c r="A568" s="31" t="s">
        <v>23</v>
      </c>
      <c r="B568" s="31" t="s">
        <v>812</v>
      </c>
      <c r="C568" s="32" t="s">
        <v>94</v>
      </c>
      <c r="D568" s="137">
        <v>9</v>
      </c>
      <c r="E568" s="275"/>
      <c r="F568" s="137"/>
      <c r="G568" s="133"/>
      <c r="H568" s="67">
        <f>+Table_1[[#This Row],[Column7]]+Table_1[[#This Row],[Column6]]+Table_1[[#This Row],[Column5]]+Table_1[[#This Row],[Column4]]</f>
        <v>9</v>
      </c>
      <c r="I568" s="38">
        <v>145000</v>
      </c>
      <c r="J568" s="34">
        <f>+'PACC GENERAL 2026'!$H568*'PACC GENERAL 2026'!$I568</f>
        <v>1305000</v>
      </c>
      <c r="K568" s="35"/>
      <c r="L568" s="35"/>
      <c r="M568" s="35"/>
      <c r="N568" s="35"/>
      <c r="O568" s="326" t="s">
        <v>1018</v>
      </c>
      <c r="P568" s="320"/>
    </row>
    <row r="569" spans="1:16" s="97" customFormat="1" ht="15.5">
      <c r="A569" s="31" t="s">
        <v>23</v>
      </c>
      <c r="B569" s="31" t="s">
        <v>1025</v>
      </c>
      <c r="C569" s="32" t="s">
        <v>94</v>
      </c>
      <c r="D569" s="137">
        <v>3</v>
      </c>
      <c r="E569" s="275"/>
      <c r="F569" s="137"/>
      <c r="G569" s="133"/>
      <c r="H569" s="67">
        <f>+Table_1[[#This Row],[Column7]]+Table_1[[#This Row],[Column6]]+Table_1[[#This Row],[Column5]]+Table_1[[#This Row],[Column4]]</f>
        <v>3</v>
      </c>
      <c r="I569" s="38">
        <v>425000</v>
      </c>
      <c r="J569" s="34">
        <f>+'PACC GENERAL 2026'!$H569*'PACC GENERAL 2026'!$I569</f>
        <v>1275000</v>
      </c>
      <c r="K569" s="35"/>
      <c r="L569" s="35"/>
      <c r="M569" s="35"/>
      <c r="N569" s="35"/>
      <c r="O569" s="326" t="s">
        <v>1018</v>
      </c>
      <c r="P569" s="320"/>
    </row>
    <row r="570" spans="1:16" s="414" customFormat="1" ht="15.5">
      <c r="A570" s="399" t="s">
        <v>23</v>
      </c>
      <c r="B570" s="399" t="s">
        <v>264</v>
      </c>
      <c r="C570" s="407" t="s">
        <v>94</v>
      </c>
      <c r="D570" s="483">
        <f>24+17</f>
        <v>41</v>
      </c>
      <c r="E570" s="483"/>
      <c r="F570" s="518"/>
      <c r="G570" s="483"/>
      <c r="H570" s="484">
        <f>+Table_1[[#This Row],[Column7]]+Table_1[[#This Row],[Column6]]+Table_1[[#This Row],[Column5]]+Table_1[[#This Row],[Column4]]</f>
        <v>41</v>
      </c>
      <c r="I570" s="274">
        <v>3436</v>
      </c>
      <c r="J570" s="411">
        <f>'PACC GENERAL 2026'!$I570*'PACC GENERAL 2026'!$H570</f>
        <v>140876</v>
      </c>
      <c r="K570" s="399"/>
      <c r="L570" s="399"/>
      <c r="M570" s="399"/>
      <c r="N570" s="399"/>
      <c r="O570" s="519" t="s">
        <v>1646</v>
      </c>
      <c r="P570" s="413"/>
    </row>
    <row r="571" spans="1:16" s="97" customFormat="1" ht="15.5">
      <c r="A571" s="31" t="s">
        <v>23</v>
      </c>
      <c r="B571" s="31" t="s">
        <v>1030</v>
      </c>
      <c r="C571" s="32" t="s">
        <v>94</v>
      </c>
      <c r="D571" s="137">
        <v>10</v>
      </c>
      <c r="E571" s="137"/>
      <c r="F571" s="137"/>
      <c r="G571" s="133"/>
      <c r="H571" s="67">
        <f>+Table_1[[#This Row],[Column7]]+Table_1[[#This Row],[Column6]]+Table_1[[#This Row],[Column5]]+Table_1[[#This Row],[Column4]]</f>
        <v>10</v>
      </c>
      <c r="I571" s="38">
        <v>12500</v>
      </c>
      <c r="J571" s="34">
        <f>+'PACC GENERAL 2026'!$H571*'PACC GENERAL 2026'!$I571</f>
        <v>125000</v>
      </c>
      <c r="K571" s="35"/>
      <c r="L571" s="35"/>
      <c r="M571" s="35"/>
      <c r="N571" s="35"/>
      <c r="O571" s="326" t="s">
        <v>1018</v>
      </c>
      <c r="P571" s="320"/>
    </row>
    <row r="572" spans="1:16" s="97" customFormat="1" ht="15.5">
      <c r="A572" s="31" t="s">
        <v>23</v>
      </c>
      <c r="B572" s="31" t="s">
        <v>1031</v>
      </c>
      <c r="C572" s="32" t="s">
        <v>94</v>
      </c>
      <c r="D572" s="137">
        <v>10</v>
      </c>
      <c r="E572" s="137"/>
      <c r="F572" s="137"/>
      <c r="G572" s="133"/>
      <c r="H572" s="67">
        <f>+Table_1[[#This Row],[Column7]]+Table_1[[#This Row],[Column6]]+Table_1[[#This Row],[Column5]]+Table_1[[#This Row],[Column4]]</f>
        <v>10</v>
      </c>
      <c r="I572" s="38">
        <v>18000</v>
      </c>
      <c r="J572" s="34">
        <f>+'PACC GENERAL 2026'!$H572*'PACC GENERAL 2026'!$I572</f>
        <v>180000</v>
      </c>
      <c r="K572" s="35"/>
      <c r="L572" s="35"/>
      <c r="M572" s="35"/>
      <c r="N572" s="35"/>
      <c r="O572" s="326" t="s">
        <v>1018</v>
      </c>
      <c r="P572" s="320"/>
    </row>
    <row r="573" spans="1:16" s="97" customFormat="1" ht="15.5">
      <c r="A573" s="31" t="s">
        <v>23</v>
      </c>
      <c r="B573" s="31" t="s">
        <v>1032</v>
      </c>
      <c r="C573" s="32" t="s">
        <v>94</v>
      </c>
      <c r="D573" s="137">
        <v>10</v>
      </c>
      <c r="E573" s="137"/>
      <c r="F573" s="137"/>
      <c r="G573" s="133"/>
      <c r="H573" s="67">
        <f>+Table_1[[#This Row],[Column7]]+Table_1[[#This Row],[Column6]]+Table_1[[#This Row],[Column5]]+Table_1[[#This Row],[Column4]]</f>
        <v>10</v>
      </c>
      <c r="I573" s="38">
        <v>25500</v>
      </c>
      <c r="J573" s="34">
        <f>+'PACC GENERAL 2026'!$H573*'PACC GENERAL 2026'!$I573</f>
        <v>255000</v>
      </c>
      <c r="K573" s="35"/>
      <c r="L573" s="35"/>
      <c r="M573" s="35"/>
      <c r="N573" s="35"/>
      <c r="O573" s="326" t="s">
        <v>1018</v>
      </c>
      <c r="P573" s="320"/>
    </row>
    <row r="574" spans="1:16" s="97" customFormat="1" ht="15.5">
      <c r="A574" s="31" t="s">
        <v>23</v>
      </c>
      <c r="B574" s="31" t="s">
        <v>1033</v>
      </c>
      <c r="C574" s="32" t="s">
        <v>94</v>
      </c>
      <c r="D574" s="137">
        <v>10</v>
      </c>
      <c r="E574" s="137"/>
      <c r="F574" s="137"/>
      <c r="G574" s="133"/>
      <c r="H574" s="67">
        <f>+Table_1[[#This Row],[Column7]]+Table_1[[#This Row],[Column6]]+Table_1[[#This Row],[Column5]]+Table_1[[#This Row],[Column4]]</f>
        <v>10</v>
      </c>
      <c r="I574" s="38">
        <v>43000</v>
      </c>
      <c r="J574" s="34">
        <f>+'PACC GENERAL 2026'!$H574*'PACC GENERAL 2026'!$I574</f>
        <v>430000</v>
      </c>
      <c r="K574" s="35"/>
      <c r="L574" s="35"/>
      <c r="M574" s="35"/>
      <c r="N574" s="35"/>
      <c r="O574" s="326" t="s">
        <v>1018</v>
      </c>
      <c r="P574" s="320"/>
    </row>
    <row r="575" spans="1:16" s="97" customFormat="1" ht="15.5">
      <c r="A575" s="31" t="s">
        <v>23</v>
      </c>
      <c r="B575" s="31" t="s">
        <v>814</v>
      </c>
      <c r="C575" s="32" t="s">
        <v>94</v>
      </c>
      <c r="D575" s="137">
        <v>5</v>
      </c>
      <c r="E575" s="137"/>
      <c r="F575" s="137"/>
      <c r="G575" s="133"/>
      <c r="H575" s="67">
        <f>+Table_1[[#This Row],[Column7]]+Table_1[[#This Row],[Column6]]+Table_1[[#This Row],[Column5]]+Table_1[[#This Row],[Column4]]</f>
        <v>5</v>
      </c>
      <c r="I575" s="38">
        <v>56000</v>
      </c>
      <c r="J575" s="34">
        <f>+'PACC GENERAL 2026'!$H575*'PACC GENERAL 2026'!$I575</f>
        <v>280000</v>
      </c>
      <c r="K575" s="35"/>
      <c r="L575" s="35"/>
      <c r="M575" s="35"/>
      <c r="N575" s="35"/>
      <c r="O575" s="326" t="s">
        <v>1018</v>
      </c>
      <c r="P575" s="320"/>
    </row>
    <row r="576" spans="1:16" s="97" customFormat="1" ht="15.5">
      <c r="A576" s="31" t="s">
        <v>23</v>
      </c>
      <c r="B576" s="31" t="s">
        <v>1034</v>
      </c>
      <c r="C576" s="32" t="s">
        <v>94</v>
      </c>
      <c r="D576" s="137">
        <v>5</v>
      </c>
      <c r="E576" s="137"/>
      <c r="F576" s="137"/>
      <c r="G576" s="133"/>
      <c r="H576" s="67">
        <f>+Table_1[[#This Row],[Column7]]+Table_1[[#This Row],[Column6]]+Table_1[[#This Row],[Column5]]+Table_1[[#This Row],[Column4]]</f>
        <v>5</v>
      </c>
      <c r="I576" s="38">
        <v>70000</v>
      </c>
      <c r="J576" s="34">
        <f>+'PACC GENERAL 2026'!$H576*'PACC GENERAL 2026'!$I576</f>
        <v>350000</v>
      </c>
      <c r="K576" s="35"/>
      <c r="L576" s="35"/>
      <c r="M576" s="35"/>
      <c r="N576" s="35"/>
      <c r="O576" s="326" t="s">
        <v>1018</v>
      </c>
      <c r="P576" s="320"/>
    </row>
    <row r="577" spans="1:16" s="97" customFormat="1" ht="15.5">
      <c r="A577" s="31" t="s">
        <v>23</v>
      </c>
      <c r="B577" s="31" t="s">
        <v>815</v>
      </c>
      <c r="C577" s="32" t="s">
        <v>94</v>
      </c>
      <c r="D577" s="137">
        <v>4</v>
      </c>
      <c r="E577" s="137"/>
      <c r="F577" s="137"/>
      <c r="G577" s="133"/>
      <c r="H577" s="67">
        <f>+Table_1[[#This Row],[Column7]]+Table_1[[#This Row],[Column6]]+Table_1[[#This Row],[Column5]]+Table_1[[#This Row],[Column4]]</f>
        <v>4</v>
      </c>
      <c r="I577" s="38">
        <v>95000</v>
      </c>
      <c r="J577" s="34">
        <f>+'PACC GENERAL 2026'!$H577*'PACC GENERAL 2026'!$I577</f>
        <v>380000</v>
      </c>
      <c r="K577" s="35"/>
      <c r="L577" s="35"/>
      <c r="M577" s="35"/>
      <c r="N577" s="35"/>
      <c r="O577" s="326" t="s">
        <v>1018</v>
      </c>
      <c r="P577" s="320"/>
    </row>
    <row r="578" spans="1:16" s="97" customFormat="1" ht="15.5">
      <c r="A578" s="31" t="s">
        <v>23</v>
      </c>
      <c r="B578" s="31" t="s">
        <v>816</v>
      </c>
      <c r="C578" s="32" t="s">
        <v>94</v>
      </c>
      <c r="D578" s="137">
        <v>4</v>
      </c>
      <c r="E578" s="137"/>
      <c r="F578" s="137"/>
      <c r="G578" s="133"/>
      <c r="H578" s="67">
        <f>+Table_1[[#This Row],[Column7]]+Table_1[[#This Row],[Column6]]+Table_1[[#This Row],[Column5]]+Table_1[[#This Row],[Column4]]</f>
        <v>4</v>
      </c>
      <c r="I578" s="38">
        <v>125000</v>
      </c>
      <c r="J578" s="34">
        <f>+'PACC GENERAL 2026'!$H578*'PACC GENERAL 2026'!$I578</f>
        <v>500000</v>
      </c>
      <c r="K578" s="35"/>
      <c r="L578" s="35"/>
      <c r="M578" s="35"/>
      <c r="N578" s="35"/>
      <c r="O578" s="326" t="s">
        <v>1018</v>
      </c>
      <c r="P578" s="320"/>
    </row>
    <row r="579" spans="1:16" s="97" customFormat="1" ht="15.5">
      <c r="A579" s="31" t="s">
        <v>23</v>
      </c>
      <c r="B579" s="31" t="s">
        <v>1035</v>
      </c>
      <c r="C579" s="32" t="s">
        <v>94</v>
      </c>
      <c r="D579" s="137">
        <v>30</v>
      </c>
      <c r="E579" s="137"/>
      <c r="F579" s="137"/>
      <c r="G579" s="133"/>
      <c r="H579" s="67">
        <f>+Table_1[[#This Row],[Column7]]+Table_1[[#This Row],[Column6]]+Table_1[[#This Row],[Column5]]+Table_1[[#This Row],[Column4]]</f>
        <v>30</v>
      </c>
      <c r="I579" s="38">
        <v>5200</v>
      </c>
      <c r="J579" s="34">
        <f>+'PACC GENERAL 2026'!$H579*'PACC GENERAL 2026'!$I579</f>
        <v>156000</v>
      </c>
      <c r="K579" s="35"/>
      <c r="L579" s="35"/>
      <c r="M579" s="35"/>
      <c r="N579" s="35"/>
      <c r="O579" s="326" t="s">
        <v>1018</v>
      </c>
      <c r="P579" s="320"/>
    </row>
    <row r="580" spans="1:16" s="97" customFormat="1" ht="15.5">
      <c r="A580" s="31" t="s">
        <v>23</v>
      </c>
      <c r="B580" s="31" t="s">
        <v>1036</v>
      </c>
      <c r="C580" s="32" t="s">
        <v>94</v>
      </c>
      <c r="D580" s="137">
        <v>20</v>
      </c>
      <c r="E580" s="137"/>
      <c r="F580" s="137"/>
      <c r="G580" s="133"/>
      <c r="H580" s="67">
        <f>+Table_1[[#This Row],[Column7]]+Table_1[[#This Row],[Column6]]+Table_1[[#This Row],[Column5]]+Table_1[[#This Row],[Column4]]</f>
        <v>20</v>
      </c>
      <c r="I580" s="38">
        <v>3500</v>
      </c>
      <c r="J580" s="34">
        <f>+'PACC GENERAL 2026'!$H580*'PACC GENERAL 2026'!$I580</f>
        <v>70000</v>
      </c>
      <c r="K580" s="35"/>
      <c r="L580" s="35"/>
      <c r="M580" s="35"/>
      <c r="N580" s="35"/>
      <c r="O580" s="326" t="s">
        <v>1018</v>
      </c>
      <c r="P580" s="320"/>
    </row>
    <row r="581" spans="1:16" s="97" customFormat="1" ht="15.5">
      <c r="A581" s="31" t="s">
        <v>23</v>
      </c>
      <c r="B581" s="31" t="s">
        <v>1037</v>
      </c>
      <c r="C581" s="32" t="s">
        <v>94</v>
      </c>
      <c r="D581" s="137">
        <v>20</v>
      </c>
      <c r="E581" s="137"/>
      <c r="F581" s="137"/>
      <c r="G581" s="133"/>
      <c r="H581" s="67">
        <f>+Table_1[[#This Row],[Column7]]+Table_1[[#This Row],[Column6]]+Table_1[[#This Row],[Column5]]+Table_1[[#This Row],[Column4]]</f>
        <v>20</v>
      </c>
      <c r="I581" s="38">
        <v>5600</v>
      </c>
      <c r="J581" s="34">
        <f>+'PACC GENERAL 2026'!$H581*'PACC GENERAL 2026'!$I581</f>
        <v>112000</v>
      </c>
      <c r="K581" s="35"/>
      <c r="L581" s="35"/>
      <c r="M581" s="35"/>
      <c r="N581" s="35"/>
      <c r="O581" s="326" t="s">
        <v>1018</v>
      </c>
      <c r="P581" s="320"/>
    </row>
    <row r="582" spans="1:16" s="418" customFormat="1" ht="15.5">
      <c r="A582" s="126" t="s">
        <v>23</v>
      </c>
      <c r="B582" s="126" t="s">
        <v>892</v>
      </c>
      <c r="C582" s="420" t="s">
        <v>94</v>
      </c>
      <c r="D582" s="416"/>
      <c r="E582" s="416"/>
      <c r="F582" s="440">
        <v>200</v>
      </c>
      <c r="G582" s="439"/>
      <c r="H582" s="410">
        <f>+Table_1[[#This Row],[Column7]]+Table_1[[#This Row],[Column6]]+Table_1[[#This Row],[Column5]]+Table_1[[#This Row],[Column4]]</f>
        <v>200</v>
      </c>
      <c r="I582" s="274">
        <v>320</v>
      </c>
      <c r="J582" s="422">
        <f>F582*I582</f>
        <v>64000</v>
      </c>
      <c r="K582" s="423"/>
      <c r="L582" s="126"/>
      <c r="M582" s="126"/>
      <c r="N582" s="126"/>
      <c r="O582" s="420" t="s">
        <v>404</v>
      </c>
      <c r="P582" s="417"/>
    </row>
    <row r="583" spans="1:16" s="418" customFormat="1" ht="15.5">
      <c r="A583" s="126" t="s">
        <v>23</v>
      </c>
      <c r="B583" s="126" t="s">
        <v>1670</v>
      </c>
      <c r="C583" s="420" t="s">
        <v>94</v>
      </c>
      <c r="D583" s="416"/>
      <c r="E583" s="416"/>
      <c r="F583" s="440">
        <v>20</v>
      </c>
      <c r="G583" s="439"/>
      <c r="H583" s="410">
        <f>+Table_1[[#This Row],[Column7]]+Table_1[[#This Row],[Column6]]+Table_1[[#This Row],[Column5]]+Table_1[[#This Row],[Column4]]</f>
        <v>20</v>
      </c>
      <c r="I583" s="274">
        <v>5900</v>
      </c>
      <c r="J583" s="422">
        <f>F583*I583</f>
        <v>118000</v>
      </c>
      <c r="K583" s="423"/>
      <c r="L583" s="126"/>
      <c r="M583" s="126"/>
      <c r="N583" s="126"/>
      <c r="O583" s="420" t="s">
        <v>404</v>
      </c>
      <c r="P583" s="417"/>
    </row>
    <row r="584" spans="1:16" s="414" customFormat="1" ht="15.75" customHeight="1">
      <c r="A584" s="126" t="s">
        <v>23</v>
      </c>
      <c r="B584" s="399" t="s">
        <v>894</v>
      </c>
      <c r="C584" s="407" t="s">
        <v>94</v>
      </c>
      <c r="D584" s="483"/>
      <c r="E584" s="487"/>
      <c r="F584" s="440">
        <v>1</v>
      </c>
      <c r="G584" s="415"/>
      <c r="H584" s="410">
        <f>F584</f>
        <v>1</v>
      </c>
      <c r="I584" s="274">
        <v>150000</v>
      </c>
      <c r="J584" s="411">
        <f>F584*I584</f>
        <v>150000</v>
      </c>
      <c r="K584" s="412"/>
      <c r="L584" s="399"/>
      <c r="M584" s="399"/>
      <c r="N584" s="399"/>
      <c r="O584" s="407" t="s">
        <v>404</v>
      </c>
      <c r="P584" s="413"/>
    </row>
    <row r="585" spans="1:16" s="418" customFormat="1" ht="15.75" customHeight="1">
      <c r="A585" s="126" t="s">
        <v>23</v>
      </c>
      <c r="B585" s="126" t="s">
        <v>919</v>
      </c>
      <c r="C585" s="420" t="s">
        <v>133</v>
      </c>
      <c r="D585" s="416"/>
      <c r="E585" s="416"/>
      <c r="F585" s="485">
        <v>30</v>
      </c>
      <c r="G585" s="421"/>
      <c r="H585" s="410">
        <f>+Table_1[[#This Row],[Column7]]+Table_1[[#This Row],[Column6]]+Table_1[[#This Row],[Column5]]+Table_1[[#This Row],[Column4]]</f>
        <v>30</v>
      </c>
      <c r="I585" s="274">
        <v>5700</v>
      </c>
      <c r="J585" s="422">
        <f>+'PACC GENERAL 2026'!$H585*'PACC GENERAL 2026'!$I585</f>
        <v>171000</v>
      </c>
      <c r="K585" s="423"/>
      <c r="L585" s="420"/>
      <c r="M585" s="425"/>
      <c r="N585" s="425"/>
      <c r="O585" s="420" t="s">
        <v>404</v>
      </c>
      <c r="P585" s="417"/>
    </row>
    <row r="586" spans="1:16" s="418" customFormat="1" ht="15.75" customHeight="1">
      <c r="A586" s="126" t="s">
        <v>23</v>
      </c>
      <c r="B586" s="126" t="s">
        <v>920</v>
      </c>
      <c r="C586" s="420" t="s">
        <v>133</v>
      </c>
      <c r="D586" s="416"/>
      <c r="E586" s="416"/>
      <c r="F586" s="485">
        <v>300</v>
      </c>
      <c r="G586" s="421"/>
      <c r="H586" s="410">
        <f>+Table_1[[#This Row],[Column7]]+Table_1[[#This Row],[Column6]]+Table_1[[#This Row],[Column5]]+Table_1[[#This Row],[Column4]]</f>
        <v>300</v>
      </c>
      <c r="I586" s="274">
        <v>225</v>
      </c>
      <c r="J586" s="422">
        <f>+'PACC GENERAL 2026'!$H586*'PACC GENERAL 2026'!$I586</f>
        <v>67500</v>
      </c>
      <c r="K586" s="423"/>
      <c r="L586" s="420"/>
      <c r="M586" s="425"/>
      <c r="N586" s="425"/>
      <c r="O586" s="420" t="s">
        <v>404</v>
      </c>
      <c r="P586" s="417"/>
    </row>
    <row r="587" spans="1:16" s="418" customFormat="1" ht="15.75" customHeight="1">
      <c r="A587" s="126" t="s">
        <v>23</v>
      </c>
      <c r="B587" s="126" t="s">
        <v>912</v>
      </c>
      <c r="C587" s="420" t="s">
        <v>133</v>
      </c>
      <c r="D587" s="416"/>
      <c r="E587" s="416"/>
      <c r="F587" s="485">
        <v>60</v>
      </c>
      <c r="G587" s="421"/>
      <c r="H587" s="410">
        <f>+Table_1[[#This Row],[Column7]]+Table_1[[#This Row],[Column6]]+Table_1[[#This Row],[Column5]]+Table_1[[#This Row],[Column4]]</f>
        <v>60</v>
      </c>
      <c r="I587" s="274">
        <v>360</v>
      </c>
      <c r="J587" s="422">
        <f>+'PACC GENERAL 2026'!$H587*'PACC GENERAL 2026'!$I587</f>
        <v>21600</v>
      </c>
      <c r="K587" s="423"/>
      <c r="L587" s="420"/>
      <c r="M587" s="425"/>
      <c r="N587" s="425"/>
      <c r="O587" s="420" t="s">
        <v>404</v>
      </c>
      <c r="P587" s="417"/>
    </row>
    <row r="588" spans="1:16" s="418" customFormat="1" ht="15.75" customHeight="1">
      <c r="A588" s="126" t="s">
        <v>23</v>
      </c>
      <c r="B588" s="126" t="s">
        <v>914</v>
      </c>
      <c r="C588" s="420" t="s">
        <v>133</v>
      </c>
      <c r="D588" s="505"/>
      <c r="E588" s="416"/>
      <c r="F588" s="485">
        <v>100</v>
      </c>
      <c r="G588" s="421"/>
      <c r="H588" s="410">
        <f>+Table_1[[#This Row],[Column7]]+Table_1[[#This Row],[Column6]]+Table_1[[#This Row],[Column5]]+Table_1[[#This Row],[Column4]]</f>
        <v>100</v>
      </c>
      <c r="I588" s="274">
        <v>550</v>
      </c>
      <c r="J588" s="422">
        <f>+'PACC GENERAL 2026'!$H588*'PACC GENERAL 2026'!$I588</f>
        <v>55000</v>
      </c>
      <c r="K588" s="423"/>
      <c r="L588" s="420"/>
      <c r="M588" s="425"/>
      <c r="N588" s="425"/>
      <c r="O588" s="420" t="s">
        <v>404</v>
      </c>
      <c r="P588" s="417"/>
    </row>
    <row r="589" spans="1:16" s="418" customFormat="1" ht="15.75" customHeight="1">
      <c r="A589" s="126" t="s">
        <v>23</v>
      </c>
      <c r="B589" s="126" t="s">
        <v>909</v>
      </c>
      <c r="C589" s="420" t="s">
        <v>133</v>
      </c>
      <c r="D589" s="505"/>
      <c r="E589" s="416"/>
      <c r="F589" s="485">
        <v>100</v>
      </c>
      <c r="G589" s="421"/>
      <c r="H589" s="410">
        <f>+Table_1[[#This Row],[Column7]]+Table_1[[#This Row],[Column6]]+Table_1[[#This Row],[Column5]]+Table_1[[#This Row],[Column4]]</f>
        <v>100</v>
      </c>
      <c r="I589" s="274">
        <v>1300</v>
      </c>
      <c r="J589" s="422">
        <f>+'PACC GENERAL 2026'!$H589*'PACC GENERAL 2026'!$I589</f>
        <v>130000</v>
      </c>
      <c r="K589" s="423"/>
      <c r="L589" s="420"/>
      <c r="M589" s="425"/>
      <c r="N589" s="425"/>
      <c r="O589" s="420" t="s">
        <v>404</v>
      </c>
      <c r="P589" s="417"/>
    </row>
    <row r="590" spans="1:16" s="414" customFormat="1" ht="15.5">
      <c r="A590" s="399" t="s">
        <v>23</v>
      </c>
      <c r="B590" s="515" t="s">
        <v>931</v>
      </c>
      <c r="C590" s="407"/>
      <c r="D590" s="516"/>
      <c r="E590" s="415"/>
      <c r="F590" s="480">
        <v>100</v>
      </c>
      <c r="G590" s="415"/>
      <c r="H590" s="410">
        <v>100</v>
      </c>
      <c r="I590" s="274">
        <v>2500</v>
      </c>
      <c r="J590" s="422">
        <f>F590*I590</f>
        <v>250000</v>
      </c>
      <c r="K590" s="412"/>
      <c r="L590" s="399"/>
      <c r="M590" s="399"/>
      <c r="N590" s="399"/>
      <c r="O590" s="407" t="s">
        <v>404</v>
      </c>
      <c r="P590" s="413"/>
    </row>
    <row r="591" spans="1:16" s="97" customFormat="1" ht="15.5">
      <c r="A591" s="31"/>
      <c r="B591" s="31"/>
      <c r="C591" s="32"/>
      <c r="D591" s="137"/>
      <c r="E591" s="275"/>
      <c r="F591" s="137"/>
      <c r="G591" s="133"/>
      <c r="H591" s="67"/>
      <c r="I591" s="38"/>
      <c r="J591" s="34"/>
      <c r="K591" s="35"/>
      <c r="L591" s="35"/>
      <c r="M591" s="35"/>
      <c r="N591" s="35"/>
      <c r="O591" s="32"/>
      <c r="P591" s="320"/>
    </row>
    <row r="592" spans="1:16" ht="15.5">
      <c r="A592" s="9" t="s">
        <v>23</v>
      </c>
      <c r="B592" s="10" t="s">
        <v>117</v>
      </c>
      <c r="C592" s="10"/>
      <c r="D592" s="152"/>
      <c r="E592" s="152"/>
      <c r="F592" s="152"/>
      <c r="G592" s="152"/>
      <c r="H592" s="111"/>
      <c r="I592" s="44"/>
      <c r="J592" s="12"/>
      <c r="K592" s="13">
        <f>SUM(J548:J591)</f>
        <v>13281800.612</v>
      </c>
      <c r="L592" s="10"/>
      <c r="M592" s="10"/>
      <c r="N592" s="10"/>
      <c r="O592" s="73"/>
    </row>
    <row r="593" spans="1:16" s="493" customFormat="1" ht="22.5" customHeight="1">
      <c r="A593" s="399" t="s">
        <v>1680</v>
      </c>
      <c r="B593" s="126" t="s">
        <v>1491</v>
      </c>
      <c r="C593" s="407" t="s">
        <v>94</v>
      </c>
      <c r="D593" s="488">
        <v>1</v>
      </c>
      <c r="E593" s="415"/>
      <c r="F593" s="488"/>
      <c r="G593" s="489"/>
      <c r="H593" s="410">
        <f>+Table_1[[#This Row],[Column7]]+Table_1[[#This Row],[Column6]]+Table_1[[#This Row],[Column5]]+Table_1[[#This Row],[Column4]]</f>
        <v>1</v>
      </c>
      <c r="I593" s="490">
        <v>1800000</v>
      </c>
      <c r="J593" s="411">
        <f>'PACC GENERAL 2026'!$I593*'PACC GENERAL 2026'!$H593</f>
        <v>1800000</v>
      </c>
      <c r="K593" s="412"/>
      <c r="L593" s="412"/>
      <c r="M593" s="412"/>
      <c r="N593" s="412"/>
      <c r="O593" s="491" t="s">
        <v>404</v>
      </c>
      <c r="P593" s="492"/>
    </row>
    <row r="594" spans="1:16" s="325" customFormat="1" ht="31">
      <c r="A594" s="9" t="s">
        <v>1680</v>
      </c>
      <c r="B594" s="10"/>
      <c r="C594" s="10"/>
      <c r="D594" s="148"/>
      <c r="E594" s="148"/>
      <c r="F594" s="148"/>
      <c r="G594" s="152"/>
      <c r="H594" s="111"/>
      <c r="I594" s="44"/>
      <c r="J594" s="12"/>
      <c r="K594" s="13">
        <f>SUM(J593:J593)</f>
        <v>1800000</v>
      </c>
      <c r="L594" s="73"/>
      <c r="M594" s="10"/>
      <c r="N594" s="10"/>
      <c r="O594" s="356"/>
      <c r="P594" s="278"/>
    </row>
    <row r="595" spans="1:16" s="97" customFormat="1" ht="15.5">
      <c r="A595" s="36" t="s">
        <v>24</v>
      </c>
      <c r="B595" s="38" t="s">
        <v>368</v>
      </c>
      <c r="C595" s="32" t="s">
        <v>94</v>
      </c>
      <c r="D595" s="137">
        <f>5+1</f>
        <v>6</v>
      </c>
      <c r="E595" s="137"/>
      <c r="F595" s="154"/>
      <c r="G595" s="133"/>
      <c r="H595" s="67">
        <f>+Table_1[[#This Row],[Column7]]+Table_1[[#This Row],[Column6]]+Table_1[[#This Row],[Column5]]+Table_1[[#This Row],[Column4]]</f>
        <v>6</v>
      </c>
      <c r="I595" s="38">
        <v>70000</v>
      </c>
      <c r="J595" s="34">
        <f>'PACC GENERAL 2026'!$I595*'PACC GENERAL 2026'!$H595</f>
        <v>420000</v>
      </c>
      <c r="K595" s="35"/>
      <c r="L595" s="31"/>
      <c r="M595" s="174"/>
      <c r="N595" s="179"/>
      <c r="O595" s="32" t="s">
        <v>1441</v>
      </c>
    </row>
    <row r="596" spans="1:16" s="97" customFormat="1" ht="15.5">
      <c r="A596" s="36" t="s">
        <v>24</v>
      </c>
      <c r="B596" s="38" t="s">
        <v>369</v>
      </c>
      <c r="C596" s="32" t="s">
        <v>94</v>
      </c>
      <c r="D596" s="137">
        <f>10+2</f>
        <v>12</v>
      </c>
      <c r="E596" s="137"/>
      <c r="F596" s="154"/>
      <c r="G596" s="133"/>
      <c r="H596" s="67">
        <f>+Table_1[[#This Row],[Column7]]+Table_1[[#This Row],[Column6]]+Table_1[[#This Row],[Column5]]+Table_1[[#This Row],[Column4]]</f>
        <v>12</v>
      </c>
      <c r="I596" s="38">
        <v>48000</v>
      </c>
      <c r="J596" s="34">
        <f>'PACC GENERAL 2026'!$I596*'PACC GENERAL 2026'!$H596</f>
        <v>576000</v>
      </c>
      <c r="K596" s="35"/>
      <c r="L596" s="31"/>
      <c r="M596" s="48"/>
      <c r="N596" s="63"/>
      <c r="O596" s="32" t="s">
        <v>1442</v>
      </c>
      <c r="P596" s="320"/>
    </row>
    <row r="597" spans="1:16" s="97" customFormat="1" ht="15.5">
      <c r="A597" s="36" t="s">
        <v>24</v>
      </c>
      <c r="B597" s="38" t="s">
        <v>370</v>
      </c>
      <c r="C597" s="32" t="s">
        <v>94</v>
      </c>
      <c r="D597" s="137">
        <v>20</v>
      </c>
      <c r="E597" s="137"/>
      <c r="F597" s="154"/>
      <c r="G597" s="133"/>
      <c r="H597" s="67">
        <f>+Table_1[[#This Row],[Column7]]+Table_1[[#This Row],[Column6]]+Table_1[[#This Row],[Column5]]+Table_1[[#This Row],[Column4]]</f>
        <v>20</v>
      </c>
      <c r="I597" s="38">
        <v>35000</v>
      </c>
      <c r="J597" s="34">
        <f>'PACC GENERAL 2026'!$I597*'PACC GENERAL 2026'!$H597</f>
        <v>700000</v>
      </c>
      <c r="K597" s="35"/>
      <c r="L597" s="31"/>
      <c r="M597" s="48"/>
      <c r="N597" s="63"/>
      <c r="O597" s="32" t="s">
        <v>1055</v>
      </c>
      <c r="P597" s="320"/>
    </row>
    <row r="598" spans="1:16" s="97" customFormat="1" ht="15.5">
      <c r="A598" s="36" t="s">
        <v>24</v>
      </c>
      <c r="B598" s="38" t="s">
        <v>371</v>
      </c>
      <c r="C598" s="32" t="s">
        <v>94</v>
      </c>
      <c r="D598" s="137">
        <v>8</v>
      </c>
      <c r="E598" s="137"/>
      <c r="F598" s="154"/>
      <c r="G598" s="133"/>
      <c r="H598" s="67">
        <f>+Table_1[[#This Row],[Column7]]+Table_1[[#This Row],[Column6]]+Table_1[[#This Row],[Column5]]+Table_1[[#This Row],[Column4]]</f>
        <v>8</v>
      </c>
      <c r="I598" s="38">
        <v>135000</v>
      </c>
      <c r="J598" s="34">
        <f>'PACC GENERAL 2026'!$I598*'PACC GENERAL 2026'!$H598</f>
        <v>1080000</v>
      </c>
      <c r="K598" s="35"/>
      <c r="L598" s="31"/>
      <c r="M598" s="48"/>
      <c r="N598" s="63"/>
      <c r="O598" s="32" t="s">
        <v>1055</v>
      </c>
      <c r="P598" s="320"/>
    </row>
    <row r="599" spans="1:16" s="97" customFormat="1" ht="15.5">
      <c r="A599" s="36" t="s">
        <v>24</v>
      </c>
      <c r="B599" s="38" t="s">
        <v>372</v>
      </c>
      <c r="C599" s="32" t="s">
        <v>94</v>
      </c>
      <c r="D599" s="137">
        <v>3</v>
      </c>
      <c r="E599" s="137"/>
      <c r="F599" s="154"/>
      <c r="G599" s="133"/>
      <c r="H599" s="67">
        <f>+Table_1[[#This Row],[Column7]]+Table_1[[#This Row],[Column6]]+Table_1[[#This Row],[Column5]]+Table_1[[#This Row],[Column4]]</f>
        <v>3</v>
      </c>
      <c r="I599" s="38">
        <v>105000</v>
      </c>
      <c r="J599" s="34">
        <f>'PACC GENERAL 2026'!$I599*'PACC GENERAL 2026'!$H599</f>
        <v>315000</v>
      </c>
      <c r="K599" s="35"/>
      <c r="L599" s="31"/>
      <c r="M599" s="48"/>
      <c r="N599" s="63"/>
      <c r="O599" s="32" t="s">
        <v>1055</v>
      </c>
      <c r="P599" s="320"/>
    </row>
    <row r="600" spans="1:16" s="97" customFormat="1" ht="15.5">
      <c r="A600" s="36" t="s">
        <v>24</v>
      </c>
      <c r="B600" s="38" t="s">
        <v>1056</v>
      </c>
      <c r="C600" s="333" t="s">
        <v>94</v>
      </c>
      <c r="D600" s="329">
        <v>7</v>
      </c>
      <c r="E600" s="137"/>
      <c r="F600" s="141"/>
      <c r="G600" s="141"/>
      <c r="H600" s="67">
        <f>+Table_1[[#This Row],[Column7]]+Table_1[[#This Row],[Column6]]+Table_1[[#This Row],[Column5]]+Table_1[[#This Row],[Column4]]</f>
        <v>7</v>
      </c>
      <c r="I600" s="241">
        <v>175000</v>
      </c>
      <c r="J600" s="34">
        <f>'PACC GENERAL 2026'!$I600*'PACC GENERAL 2026'!$H600</f>
        <v>1225000</v>
      </c>
      <c r="K600" s="35"/>
      <c r="L600" s="31"/>
      <c r="M600" s="48"/>
      <c r="N600" s="63"/>
      <c r="O600" s="32" t="s">
        <v>1055</v>
      </c>
      <c r="P600" s="320"/>
    </row>
    <row r="601" spans="1:16" s="97" customFormat="1" ht="15.5">
      <c r="A601" s="36" t="s">
        <v>24</v>
      </c>
      <c r="B601" s="38" t="s">
        <v>1057</v>
      </c>
      <c r="C601" s="331" t="s">
        <v>94</v>
      </c>
      <c r="D601" s="329">
        <v>20</v>
      </c>
      <c r="E601" s="137"/>
      <c r="F601" s="332"/>
      <c r="G601" s="332"/>
      <c r="H601" s="67">
        <f>+Table_1[[#This Row],[Column7]]+Table_1[[#This Row],[Column6]]+Table_1[[#This Row],[Column5]]+Table_1[[#This Row],[Column4]]</f>
        <v>20</v>
      </c>
      <c r="I601" s="241">
        <v>10000</v>
      </c>
      <c r="J601" s="34">
        <f>'PACC GENERAL 2026'!$I601*'PACC GENERAL 2026'!$H601</f>
        <v>200000</v>
      </c>
      <c r="K601" s="35"/>
      <c r="L601" s="31"/>
      <c r="M601" s="48"/>
      <c r="N601" s="63"/>
      <c r="O601" s="32" t="s">
        <v>1055</v>
      </c>
      <c r="P601" s="320"/>
    </row>
    <row r="602" spans="1:16" s="97" customFormat="1" ht="15.5">
      <c r="A602" s="36" t="s">
        <v>24</v>
      </c>
      <c r="B602" s="38" t="s">
        <v>1058</v>
      </c>
      <c r="C602" s="331" t="s">
        <v>94</v>
      </c>
      <c r="D602" s="329">
        <v>20</v>
      </c>
      <c r="E602" s="137"/>
      <c r="F602" s="332"/>
      <c r="G602" s="332"/>
      <c r="H602" s="67">
        <f>+Table_1[[#This Row],[Column7]]+Table_1[[#This Row],[Column6]]+Table_1[[#This Row],[Column5]]+Table_1[[#This Row],[Column4]]</f>
        <v>20</v>
      </c>
      <c r="I602" s="241">
        <v>8000</v>
      </c>
      <c r="J602" s="34">
        <f>'PACC GENERAL 2026'!$I602*'PACC GENERAL 2026'!$H602</f>
        <v>160000</v>
      </c>
      <c r="K602" s="35"/>
      <c r="L602" s="31"/>
      <c r="M602" s="48"/>
      <c r="N602" s="63"/>
      <c r="O602" s="32" t="s">
        <v>1055</v>
      </c>
      <c r="P602" s="320"/>
    </row>
    <row r="603" spans="1:16" s="97" customFormat="1" ht="15.5">
      <c r="A603" s="36"/>
      <c r="B603" s="38"/>
      <c r="C603" s="32"/>
      <c r="D603" s="133"/>
      <c r="E603" s="137"/>
      <c r="F603" s="154"/>
      <c r="G603" s="133"/>
      <c r="H603" s="67">
        <f>+Table_1[[#This Row],[Column7]]+Table_1[[#This Row],[Column6]]+Table_1[[#This Row],[Column5]]+Table_1[[#This Row],[Column4]]</f>
        <v>0</v>
      </c>
      <c r="I603" s="38"/>
      <c r="J603" s="34">
        <f>'PACC GENERAL 2026'!$I603*'PACC GENERAL 2026'!$H603</f>
        <v>0</v>
      </c>
      <c r="K603" s="35"/>
      <c r="L603" s="31"/>
      <c r="M603" s="48"/>
      <c r="N603" s="63"/>
      <c r="O603" s="32"/>
      <c r="P603" s="320"/>
    </row>
    <row r="604" spans="1:16" ht="15.5">
      <c r="A604" s="53" t="s">
        <v>24</v>
      </c>
      <c r="B604" s="10"/>
      <c r="C604" s="10"/>
      <c r="D604" s="152"/>
      <c r="E604" s="152"/>
      <c r="F604" s="152"/>
      <c r="G604" s="152"/>
      <c r="H604" s="111"/>
      <c r="I604" s="44"/>
      <c r="J604" s="12"/>
      <c r="K604" s="13">
        <f>SUM(J595:J603)</f>
        <v>4676000</v>
      </c>
      <c r="L604" s="10"/>
      <c r="M604" s="10"/>
      <c r="N604" s="10"/>
      <c r="O604" s="73"/>
    </row>
    <row r="605" spans="1:16" s="97" customFormat="1" ht="15.5">
      <c r="A605" s="31" t="s">
        <v>25</v>
      </c>
      <c r="B605" s="31" t="s">
        <v>791</v>
      </c>
      <c r="C605" s="32" t="s">
        <v>94</v>
      </c>
      <c r="D605" s="133">
        <v>260</v>
      </c>
      <c r="E605" s="133"/>
      <c r="F605" s="133"/>
      <c r="G605" s="137"/>
      <c r="H605" s="67">
        <f>+Table_1[[#This Row],[Column7]]+Table_1[[#This Row],[Column6]]+Table_1[[#This Row],[Column5]]+Table_1[[#This Row],[Column4]]</f>
        <v>260</v>
      </c>
      <c r="I605" s="38">
        <v>4000</v>
      </c>
      <c r="J605" s="34">
        <f>'PACC GENERAL 2026'!$I605*'PACC GENERAL 2026'!$H605</f>
        <v>1040000</v>
      </c>
      <c r="K605" s="35"/>
      <c r="L605" s="31"/>
      <c r="M605" s="31"/>
      <c r="N605" s="32"/>
      <c r="O605" s="32" t="s">
        <v>1301</v>
      </c>
    </row>
    <row r="606" spans="1:16" s="97" customFormat="1" ht="15.5">
      <c r="A606" s="31" t="s">
        <v>25</v>
      </c>
      <c r="B606" s="31" t="s">
        <v>792</v>
      </c>
      <c r="C606" s="32" t="s">
        <v>94</v>
      </c>
      <c r="D606" s="133">
        <v>260</v>
      </c>
      <c r="E606" s="133"/>
      <c r="F606" s="133"/>
      <c r="G606" s="137"/>
      <c r="H606" s="67">
        <f>+Table_1[[#This Row],[Column7]]+Table_1[[#This Row],[Column6]]+Table_1[[#This Row],[Column5]]+Table_1[[#This Row],[Column4]]</f>
        <v>260</v>
      </c>
      <c r="I606" s="38">
        <v>4000</v>
      </c>
      <c r="J606" s="34">
        <f>'PACC GENERAL 2026'!$I606*'PACC GENERAL 2026'!$H606</f>
        <v>1040000</v>
      </c>
      <c r="K606" s="35"/>
      <c r="L606" s="31"/>
      <c r="M606" s="31"/>
      <c r="N606" s="32"/>
      <c r="O606" s="32" t="s">
        <v>1301</v>
      </c>
      <c r="P606" s="320"/>
    </row>
    <row r="607" spans="1:16" s="97" customFormat="1" ht="15.5">
      <c r="A607" s="31" t="s">
        <v>25</v>
      </c>
      <c r="B607" s="31" t="s">
        <v>588</v>
      </c>
      <c r="C607" s="32" t="s">
        <v>94</v>
      </c>
      <c r="D607" s="133">
        <v>100</v>
      </c>
      <c r="E607" s="133"/>
      <c r="F607" s="133"/>
      <c r="G607" s="137"/>
      <c r="H607" s="67">
        <f>+Table_1[[#This Row],[Column7]]+Table_1[[#This Row],[Column6]]+Table_1[[#This Row],[Column5]]+Table_1[[#This Row],[Column4]]</f>
        <v>100</v>
      </c>
      <c r="I607" s="38">
        <v>800</v>
      </c>
      <c r="J607" s="34">
        <f>'PACC GENERAL 2026'!$I607*'PACC GENERAL 2026'!$H607</f>
        <v>80000</v>
      </c>
      <c r="K607" s="35"/>
      <c r="L607" s="31"/>
      <c r="M607" s="31"/>
      <c r="N607" s="32"/>
      <c r="O607" s="32" t="s">
        <v>1301</v>
      </c>
    </row>
    <row r="608" spans="1:16" s="97" customFormat="1" ht="15.5">
      <c r="A608" s="31" t="s">
        <v>25</v>
      </c>
      <c r="B608" s="31" t="s">
        <v>589</v>
      </c>
      <c r="C608" s="32" t="s">
        <v>94</v>
      </c>
      <c r="D608" s="133">
        <v>100</v>
      </c>
      <c r="E608" s="133"/>
      <c r="F608" s="133"/>
      <c r="G608" s="137"/>
      <c r="H608" s="67">
        <f>+Table_1[[#This Row],[Column7]]+Table_1[[#This Row],[Column6]]+Table_1[[#This Row],[Column5]]+Table_1[[#This Row],[Column4]]</f>
        <v>100</v>
      </c>
      <c r="I608" s="38">
        <v>1500</v>
      </c>
      <c r="J608" s="34">
        <f>'PACC GENERAL 2026'!$I608*'PACC GENERAL 2026'!$H608</f>
        <v>150000</v>
      </c>
      <c r="K608" s="35"/>
      <c r="L608" s="31"/>
      <c r="M608" s="31"/>
      <c r="N608" s="31"/>
      <c r="O608" s="32" t="s">
        <v>1301</v>
      </c>
    </row>
    <row r="609" spans="1:16" s="97" customFormat="1" ht="15.5">
      <c r="A609" s="31" t="s">
        <v>25</v>
      </c>
      <c r="B609" s="31" t="s">
        <v>1289</v>
      </c>
      <c r="C609" s="32" t="s">
        <v>94</v>
      </c>
      <c r="D609" s="283">
        <v>50</v>
      </c>
      <c r="E609" s="133"/>
      <c r="F609" s="133"/>
      <c r="G609" s="137"/>
      <c r="H609" s="67">
        <f>+Table_1[[#This Row],[Column7]]+Table_1[[#This Row],[Column6]]+Table_1[[#This Row],[Column5]]+Table_1[[#This Row],[Column4]]</f>
        <v>50</v>
      </c>
      <c r="I609" s="38">
        <v>70</v>
      </c>
      <c r="J609" s="34">
        <f>'PACC GENERAL 2026'!$I609*'PACC GENERAL 2026'!$H609</f>
        <v>3500</v>
      </c>
      <c r="K609" s="35"/>
      <c r="L609" s="31"/>
      <c r="M609" s="31"/>
      <c r="N609" s="31"/>
      <c r="O609" s="32" t="s">
        <v>1301</v>
      </c>
      <c r="P609" s="320"/>
    </row>
    <row r="610" spans="1:16" s="97" customFormat="1" ht="15.5">
      <c r="A610" s="31" t="s">
        <v>25</v>
      </c>
      <c r="B610" s="31" t="s">
        <v>1290</v>
      </c>
      <c r="C610" s="32" t="s">
        <v>94</v>
      </c>
      <c r="D610" s="283">
        <v>50</v>
      </c>
      <c r="E610" s="133"/>
      <c r="F610" s="133"/>
      <c r="G610" s="137"/>
      <c r="H610" s="67">
        <f>+Table_1[[#This Row],[Column7]]+Table_1[[#This Row],[Column6]]+Table_1[[#This Row],[Column5]]+Table_1[[#This Row],[Column4]]</f>
        <v>50</v>
      </c>
      <c r="I610" s="38">
        <v>150</v>
      </c>
      <c r="J610" s="34">
        <f>'PACC GENERAL 2026'!$I610*'PACC GENERAL 2026'!$H610</f>
        <v>7500</v>
      </c>
      <c r="K610" s="35"/>
      <c r="L610" s="31"/>
      <c r="M610" s="31"/>
      <c r="N610" s="31"/>
      <c r="O610" s="32" t="s">
        <v>1301</v>
      </c>
      <c r="P610" s="320"/>
    </row>
    <row r="611" spans="1:16" s="97" customFormat="1" ht="15.5">
      <c r="A611" s="31" t="s">
        <v>25</v>
      </c>
      <c r="B611" s="31" t="s">
        <v>561</v>
      </c>
      <c r="C611" s="32" t="s">
        <v>94</v>
      </c>
      <c r="D611" s="133">
        <v>200</v>
      </c>
      <c r="E611" s="133"/>
      <c r="F611" s="133"/>
      <c r="G611" s="137"/>
      <c r="H611" s="67">
        <f>+Table_1[[#This Row],[Column7]]+Table_1[[#This Row],[Column6]]+Table_1[[#This Row],[Column5]]+Table_1[[#This Row],[Column4]]</f>
        <v>200</v>
      </c>
      <c r="I611" s="38">
        <v>3000</v>
      </c>
      <c r="J611" s="34">
        <f>'PACC GENERAL 2026'!$I611*'PACC GENERAL 2026'!$H611</f>
        <v>600000</v>
      </c>
      <c r="K611" s="35"/>
      <c r="L611" s="31"/>
      <c r="M611" s="31"/>
      <c r="N611" s="32"/>
      <c r="O611" s="32" t="s">
        <v>1301</v>
      </c>
      <c r="P611" s="320"/>
    </row>
    <row r="612" spans="1:16" s="97" customFormat="1" ht="15.5">
      <c r="A612" s="31" t="s">
        <v>25</v>
      </c>
      <c r="B612" s="31" t="s">
        <v>562</v>
      </c>
      <c r="C612" s="32" t="s">
        <v>94</v>
      </c>
      <c r="D612" s="133">
        <v>200</v>
      </c>
      <c r="E612" s="133"/>
      <c r="F612" s="133"/>
      <c r="G612" s="137"/>
      <c r="H612" s="67">
        <f>+Table_1[[#This Row],[Column7]]+Table_1[[#This Row],[Column6]]+Table_1[[#This Row],[Column5]]+Table_1[[#This Row],[Column4]]</f>
        <v>200</v>
      </c>
      <c r="I612" s="38">
        <v>11000</v>
      </c>
      <c r="J612" s="34">
        <f>'PACC GENERAL 2026'!$I612*'PACC GENERAL 2026'!$H612</f>
        <v>2200000</v>
      </c>
      <c r="K612" s="35"/>
      <c r="L612" s="31"/>
      <c r="M612" s="31"/>
      <c r="N612" s="32"/>
      <c r="O612" s="32" t="s">
        <v>1301</v>
      </c>
      <c r="P612" s="320"/>
    </row>
    <row r="613" spans="1:16" s="97" customFormat="1" ht="15.5">
      <c r="A613" s="31" t="s">
        <v>25</v>
      </c>
      <c r="B613" s="31" t="s">
        <v>563</v>
      </c>
      <c r="C613" s="32" t="s">
        <v>94</v>
      </c>
      <c r="D613" s="133">
        <v>200</v>
      </c>
      <c r="E613" s="133"/>
      <c r="F613" s="133"/>
      <c r="G613" s="137"/>
      <c r="H613" s="67">
        <f>+Table_1[[#This Row],[Column7]]+Table_1[[#This Row],[Column6]]+Table_1[[#This Row],[Column5]]+Table_1[[#This Row],[Column4]]</f>
        <v>200</v>
      </c>
      <c r="I613" s="38">
        <v>12000</v>
      </c>
      <c r="J613" s="34">
        <f>'PACC GENERAL 2026'!$I613*'PACC GENERAL 2026'!$H613</f>
        <v>2400000</v>
      </c>
      <c r="K613" s="35"/>
      <c r="L613" s="31"/>
      <c r="M613" s="31"/>
      <c r="N613" s="32"/>
      <c r="O613" s="32" t="s">
        <v>1301</v>
      </c>
      <c r="P613" s="320"/>
    </row>
    <row r="614" spans="1:16" s="97" customFormat="1" ht="15.5">
      <c r="A614" s="31" t="s">
        <v>25</v>
      </c>
      <c r="B614" s="31" t="s">
        <v>564</v>
      </c>
      <c r="C614" s="32" t="s">
        <v>118</v>
      </c>
      <c r="D614" s="133">
        <v>3000</v>
      </c>
      <c r="E614" s="133"/>
      <c r="F614" s="133"/>
      <c r="G614" s="137"/>
      <c r="H614" s="67">
        <f>+Table_1[[#This Row],[Column7]]+Table_1[[#This Row],[Column6]]+Table_1[[#This Row],[Column5]]+Table_1[[#This Row],[Column4]]</f>
        <v>3000</v>
      </c>
      <c r="I614" s="38">
        <v>139</v>
      </c>
      <c r="J614" s="34">
        <f>'PACC GENERAL 2026'!$I614*'PACC GENERAL 2026'!$H614</f>
        <v>417000</v>
      </c>
      <c r="K614" s="35"/>
      <c r="L614" s="31"/>
      <c r="M614" s="31"/>
      <c r="N614" s="32"/>
      <c r="O614" s="32" t="s">
        <v>1301</v>
      </c>
      <c r="P614" s="320"/>
    </row>
    <row r="615" spans="1:16" s="97" customFormat="1" ht="15.5">
      <c r="A615" s="174" t="s">
        <v>25</v>
      </c>
      <c r="B615" s="174" t="s">
        <v>807</v>
      </c>
      <c r="C615" s="179" t="s">
        <v>94</v>
      </c>
      <c r="D615" s="182">
        <v>40</v>
      </c>
      <c r="E615" s="182"/>
      <c r="F615" s="182"/>
      <c r="G615" s="194"/>
      <c r="H615" s="67">
        <f>+Table_1[[#This Row],[Column7]]+Table_1[[#This Row],[Column6]]+Table_1[[#This Row],[Column5]]+Table_1[[#This Row],[Column4]]</f>
        <v>40</v>
      </c>
      <c r="I615" s="177">
        <v>40000</v>
      </c>
      <c r="J615" s="34">
        <f>'PACC GENERAL 2026'!$I615*'PACC GENERAL 2026'!$H615</f>
        <v>1600000</v>
      </c>
      <c r="K615" s="186"/>
      <c r="L615" s="174"/>
      <c r="M615" s="174"/>
      <c r="N615" s="174"/>
      <c r="O615" s="32" t="s">
        <v>1301</v>
      </c>
    </row>
    <row r="616" spans="1:16" s="97" customFormat="1" ht="15.5">
      <c r="A616" s="31" t="s">
        <v>25</v>
      </c>
      <c r="B616" s="31" t="s">
        <v>1291</v>
      </c>
      <c r="C616" s="32" t="s">
        <v>727</v>
      </c>
      <c r="D616" s="283">
        <v>1000</v>
      </c>
      <c r="E616" s="133"/>
      <c r="F616" s="133"/>
      <c r="G616" s="133"/>
      <c r="H616" s="67">
        <f>+Table_1[[#This Row],[Column7]]+Table_1[[#This Row],[Column6]]+Table_1[[#This Row],[Column5]]+Table_1[[#This Row],[Column4]]</f>
        <v>1000</v>
      </c>
      <c r="I616" s="38">
        <v>560</v>
      </c>
      <c r="J616" s="34">
        <f>'PACC GENERAL 2026'!$I616*'PACC GENERAL 2026'!$H616</f>
        <v>560000</v>
      </c>
      <c r="K616" s="35"/>
      <c r="L616" s="31"/>
      <c r="M616" s="31"/>
      <c r="N616" s="31"/>
      <c r="O616" s="32" t="s">
        <v>1301</v>
      </c>
      <c r="P616" s="320"/>
    </row>
    <row r="617" spans="1:16" s="97" customFormat="1" ht="15.5">
      <c r="A617" s="174" t="s">
        <v>25</v>
      </c>
      <c r="B617" s="174" t="s">
        <v>1292</v>
      </c>
      <c r="C617" s="179" t="s">
        <v>727</v>
      </c>
      <c r="D617" s="196">
        <v>1000</v>
      </c>
      <c r="E617" s="182"/>
      <c r="F617" s="182"/>
      <c r="G617" s="182"/>
      <c r="H617" s="67">
        <f>+Table_1[[#This Row],[Column7]]+Table_1[[#This Row],[Column6]]+Table_1[[#This Row],[Column5]]+Table_1[[#This Row],[Column4]]</f>
        <v>1000</v>
      </c>
      <c r="I617" s="177">
        <v>600</v>
      </c>
      <c r="J617" s="34">
        <f>'PACC GENERAL 2026'!$I617*'PACC GENERAL 2026'!$H617</f>
        <v>600000</v>
      </c>
      <c r="K617" s="186"/>
      <c r="L617" s="174"/>
      <c r="M617" s="174"/>
      <c r="N617" s="174"/>
      <c r="O617" s="32" t="s">
        <v>1301</v>
      </c>
      <c r="P617" s="320"/>
    </row>
    <row r="618" spans="1:16" s="97" customFormat="1" ht="15.5">
      <c r="A618" s="31" t="s">
        <v>25</v>
      </c>
      <c r="B618" s="31" t="s">
        <v>184</v>
      </c>
      <c r="C618" s="32" t="s">
        <v>94</v>
      </c>
      <c r="D618" s="133">
        <v>7000</v>
      </c>
      <c r="E618" s="133"/>
      <c r="F618" s="133"/>
      <c r="G618" s="137"/>
      <c r="H618" s="67">
        <f>+Table_1[[#This Row],[Column7]]+Table_1[[#This Row],[Column6]]+Table_1[[#This Row],[Column5]]+Table_1[[#This Row],[Column4]]</f>
        <v>7000</v>
      </c>
      <c r="I618" s="38">
        <v>180</v>
      </c>
      <c r="J618" s="34">
        <f>'PACC GENERAL 2026'!$I618*'PACC GENERAL 2026'!$H618</f>
        <v>1260000</v>
      </c>
      <c r="K618" s="35"/>
      <c r="L618" s="31"/>
      <c r="M618" s="31"/>
      <c r="N618" s="32"/>
      <c r="O618" s="32" t="s">
        <v>1301</v>
      </c>
      <c r="P618" s="320"/>
    </row>
    <row r="619" spans="1:16" s="97" customFormat="1" ht="15.5">
      <c r="A619" s="31" t="s">
        <v>25</v>
      </c>
      <c r="B619" s="31" t="s">
        <v>190</v>
      </c>
      <c r="C619" s="32" t="s">
        <v>94</v>
      </c>
      <c r="D619" s="133">
        <f>1300+38+18</f>
        <v>1356</v>
      </c>
      <c r="E619" s="133"/>
      <c r="F619" s="133"/>
      <c r="G619" s="137"/>
      <c r="H619" s="67">
        <f>+Table_1[[#This Row],[Column7]]+Table_1[[#This Row],[Column6]]+Table_1[[#This Row],[Column5]]+Table_1[[#This Row],[Column4]]</f>
        <v>1356</v>
      </c>
      <c r="I619" s="38">
        <v>205</v>
      </c>
      <c r="J619" s="34">
        <f>'PACC GENERAL 2026'!$I619*'PACC GENERAL 2026'!$H619</f>
        <v>277980</v>
      </c>
      <c r="K619" s="35"/>
      <c r="L619" s="31"/>
      <c r="M619" s="31"/>
      <c r="N619" s="31"/>
      <c r="O619" s="32" t="s">
        <v>1647</v>
      </c>
    </row>
    <row r="620" spans="1:16" s="97" customFormat="1" ht="15.5">
      <c r="A620" s="31" t="s">
        <v>25</v>
      </c>
      <c r="B620" s="31" t="s">
        <v>191</v>
      </c>
      <c r="C620" s="32" t="s">
        <v>94</v>
      </c>
      <c r="D620" s="133">
        <v>93</v>
      </c>
      <c r="E620" s="133"/>
      <c r="F620" s="133"/>
      <c r="G620" s="133"/>
      <c r="H620" s="67">
        <f>+Table_1[[#This Row],[Column7]]+Table_1[[#This Row],[Column6]]+Table_1[[#This Row],[Column5]]+Table_1[[#This Row],[Column4]]</f>
        <v>93</v>
      </c>
      <c r="I620" s="38">
        <v>178</v>
      </c>
      <c r="J620" s="34">
        <f>'PACC GENERAL 2026'!$I620*'PACC GENERAL 2026'!$H620</f>
        <v>16554</v>
      </c>
      <c r="K620" s="35"/>
      <c r="L620" s="31"/>
      <c r="M620" s="31"/>
      <c r="N620" s="31"/>
      <c r="O620" s="65" t="s">
        <v>1004</v>
      </c>
      <c r="P620" s="320"/>
    </row>
    <row r="621" spans="1:16" s="97" customFormat="1" ht="15.5">
      <c r="A621" s="31" t="s">
        <v>25</v>
      </c>
      <c r="B621" s="31" t="s">
        <v>755</v>
      </c>
      <c r="C621" s="32" t="s">
        <v>94</v>
      </c>
      <c r="D621" s="133">
        <v>300</v>
      </c>
      <c r="E621" s="133"/>
      <c r="F621" s="133"/>
      <c r="G621" s="137"/>
      <c r="H621" s="67">
        <f>+Table_1[[#This Row],[Column7]]+Table_1[[#This Row],[Column6]]+Table_1[[#This Row],[Column5]]+Table_1[[#This Row],[Column4]]</f>
        <v>300</v>
      </c>
      <c r="I621" s="38">
        <v>330</v>
      </c>
      <c r="J621" s="34">
        <f>'PACC GENERAL 2026'!$I621*'PACC GENERAL 2026'!$H621</f>
        <v>99000</v>
      </c>
      <c r="K621" s="35"/>
      <c r="L621" s="31"/>
      <c r="M621" s="31"/>
      <c r="N621" s="31"/>
      <c r="O621" s="32" t="s">
        <v>1301</v>
      </c>
    </row>
    <row r="622" spans="1:16" s="97" customFormat="1" ht="15.5">
      <c r="A622" s="31" t="s">
        <v>25</v>
      </c>
      <c r="B622" s="31" t="s">
        <v>192</v>
      </c>
      <c r="C622" s="32" t="s">
        <v>94</v>
      </c>
      <c r="D622" s="133">
        <f>100+50+24</f>
        <v>174</v>
      </c>
      <c r="E622" s="133"/>
      <c r="F622" s="133"/>
      <c r="G622" s="137"/>
      <c r="H622" s="67">
        <f>+Table_1[[#This Row],[Column7]]+Table_1[[#This Row],[Column6]]+Table_1[[#This Row],[Column5]]+Table_1[[#This Row],[Column4]]</f>
        <v>174</v>
      </c>
      <c r="I622" s="38">
        <v>331.34</v>
      </c>
      <c r="J622" s="34">
        <f>'PACC GENERAL 2026'!$I622*'PACC GENERAL 2026'!$H622</f>
        <v>57653.159999999996</v>
      </c>
      <c r="K622" s="35"/>
      <c r="L622" s="31"/>
      <c r="M622" s="31"/>
      <c r="N622" s="31"/>
      <c r="O622" s="32" t="s">
        <v>1648</v>
      </c>
    </row>
    <row r="623" spans="1:16" s="97" customFormat="1" ht="15.5">
      <c r="A623" s="31" t="s">
        <v>25</v>
      </c>
      <c r="B623" s="31" t="s">
        <v>192</v>
      </c>
      <c r="C623" s="32" t="s">
        <v>94</v>
      </c>
      <c r="D623" s="133"/>
      <c r="E623" s="133"/>
      <c r="F623" s="133"/>
      <c r="G623" s="133"/>
      <c r="H623" s="67">
        <f>+Table_1[[#This Row],[Column7]]+Table_1[[#This Row],[Column6]]+Table_1[[#This Row],[Column5]]+Table_1[[#This Row],[Column4]]</f>
        <v>0</v>
      </c>
      <c r="I623" s="38">
        <v>331.34</v>
      </c>
      <c r="J623" s="34">
        <f>'PACC GENERAL 2026'!$I623*'PACC GENERAL 2026'!$H623</f>
        <v>0</v>
      </c>
      <c r="K623" s="35"/>
      <c r="L623" s="31"/>
      <c r="M623" s="31"/>
      <c r="N623" s="31"/>
      <c r="O623" s="65" t="s">
        <v>1004</v>
      </c>
      <c r="P623" s="320"/>
    </row>
    <row r="624" spans="1:16" s="287" customFormat="1" ht="15.5">
      <c r="A624" s="36" t="s">
        <v>25</v>
      </c>
      <c r="B624" s="36" t="s">
        <v>688</v>
      </c>
      <c r="C624" s="37" t="s">
        <v>94</v>
      </c>
      <c r="D624" s="138">
        <v>1900</v>
      </c>
      <c r="E624" s="138"/>
      <c r="F624" s="138"/>
      <c r="G624" s="138"/>
      <c r="H624" s="67">
        <f>+Table_1[[#This Row],[Column7]]+Table_1[[#This Row],[Column6]]+Table_1[[#This Row],[Column5]]+Table_1[[#This Row],[Column4]]</f>
        <v>1900</v>
      </c>
      <c r="I624" s="38">
        <v>845</v>
      </c>
      <c r="J624" s="34">
        <f>'PACC GENERAL 2026'!$I624*'PACC GENERAL 2026'!$H624</f>
        <v>1605500</v>
      </c>
      <c r="K624" s="40"/>
      <c r="L624" s="31"/>
      <c r="M624" s="31"/>
      <c r="N624" s="31"/>
      <c r="O624" s="32" t="s">
        <v>1301</v>
      </c>
      <c r="P624" s="323"/>
    </row>
    <row r="625" spans="1:16" s="97" customFormat="1" ht="15.5">
      <c r="A625" s="31" t="s">
        <v>25</v>
      </c>
      <c r="B625" s="31" t="s">
        <v>193</v>
      </c>
      <c r="C625" s="32" t="s">
        <v>94</v>
      </c>
      <c r="D625" s="133">
        <v>5</v>
      </c>
      <c r="E625" s="133"/>
      <c r="F625" s="133"/>
      <c r="G625" s="133"/>
      <c r="H625" s="67">
        <f>+Table_1[[#This Row],[Column7]]+Table_1[[#This Row],[Column6]]+Table_1[[#This Row],[Column5]]+Table_1[[#This Row],[Column4]]</f>
        <v>5</v>
      </c>
      <c r="I625" s="38">
        <v>772</v>
      </c>
      <c r="J625" s="34">
        <f>'PACC GENERAL 2026'!$I625*'PACC GENERAL 2026'!$H625</f>
        <v>3860</v>
      </c>
      <c r="K625" s="35"/>
      <c r="L625" s="31"/>
      <c r="M625" s="31"/>
      <c r="N625" s="31"/>
      <c r="O625" s="65" t="s">
        <v>1004</v>
      </c>
      <c r="P625" s="320"/>
    </row>
    <row r="626" spans="1:16" s="97" customFormat="1" ht="15.5">
      <c r="A626" s="31" t="s">
        <v>25</v>
      </c>
      <c r="B626" s="31" t="s">
        <v>194</v>
      </c>
      <c r="C626" s="32" t="s">
        <v>94</v>
      </c>
      <c r="D626" s="133">
        <v>5</v>
      </c>
      <c r="E626" s="133"/>
      <c r="F626" s="133"/>
      <c r="G626" s="133"/>
      <c r="H626" s="67">
        <f>+Table_1[[#This Row],[Column7]]+Table_1[[#This Row],[Column6]]+Table_1[[#This Row],[Column5]]+Table_1[[#This Row],[Column4]]</f>
        <v>5</v>
      </c>
      <c r="I626" s="38">
        <v>931</v>
      </c>
      <c r="J626" s="34">
        <f>'PACC GENERAL 2026'!$I626*'PACC GENERAL 2026'!$H626</f>
        <v>4655</v>
      </c>
      <c r="K626" s="35"/>
      <c r="L626" s="31"/>
      <c r="M626" s="31"/>
      <c r="N626" s="31"/>
      <c r="O626" s="65" t="s">
        <v>1004</v>
      </c>
      <c r="P626" s="320"/>
    </row>
    <row r="627" spans="1:16" s="287" customFormat="1" ht="15.5">
      <c r="A627" s="36" t="s">
        <v>25</v>
      </c>
      <c r="B627" s="36" t="s">
        <v>1278</v>
      </c>
      <c r="C627" s="37" t="s">
        <v>94</v>
      </c>
      <c r="D627" s="138">
        <v>1060</v>
      </c>
      <c r="E627" s="138"/>
      <c r="F627" s="138"/>
      <c r="G627" s="138"/>
      <c r="H627" s="67">
        <f>+Table_1[[#This Row],[Column7]]+Table_1[[#This Row],[Column6]]+Table_1[[#This Row],[Column5]]+Table_1[[#This Row],[Column4]]</f>
        <v>1060</v>
      </c>
      <c r="I627" s="38">
        <v>600</v>
      </c>
      <c r="J627" s="34">
        <f>'PACC GENERAL 2026'!$I627*'PACC GENERAL 2026'!$H627</f>
        <v>636000</v>
      </c>
      <c r="K627" s="40"/>
      <c r="L627" s="31"/>
      <c r="M627" s="31"/>
      <c r="N627" s="31"/>
      <c r="O627" s="32" t="s">
        <v>1301</v>
      </c>
      <c r="P627" s="323"/>
    </row>
    <row r="628" spans="1:16" s="97" customFormat="1" ht="15.5">
      <c r="A628" s="31" t="s">
        <v>25</v>
      </c>
      <c r="B628" s="31" t="s">
        <v>195</v>
      </c>
      <c r="C628" s="32" t="s">
        <v>94</v>
      </c>
      <c r="D628" s="133">
        <v>50</v>
      </c>
      <c r="E628" s="133"/>
      <c r="F628" s="133"/>
      <c r="G628" s="137"/>
      <c r="H628" s="67">
        <f>+Table_1[[#This Row],[Column7]]+Table_1[[#This Row],[Column6]]+Table_1[[#This Row],[Column5]]+Table_1[[#This Row],[Column4]]</f>
        <v>50</v>
      </c>
      <c r="I628" s="38">
        <v>2849</v>
      </c>
      <c r="J628" s="34">
        <f>'PACC GENERAL 2026'!$I628*'PACC GENERAL 2026'!$H628</f>
        <v>142450</v>
      </c>
      <c r="K628" s="35"/>
      <c r="L628" s="31"/>
      <c r="M628" s="31"/>
      <c r="N628" s="31"/>
      <c r="O628" s="32" t="s">
        <v>1301</v>
      </c>
    </row>
    <row r="629" spans="1:16" s="97" customFormat="1" ht="15.5">
      <c r="A629" s="31" t="s">
        <v>25</v>
      </c>
      <c r="B629" s="31" t="s">
        <v>1490</v>
      </c>
      <c r="C629" s="32" t="s">
        <v>94</v>
      </c>
      <c r="D629" s="133">
        <v>100</v>
      </c>
      <c r="E629" s="137"/>
      <c r="F629" s="133"/>
      <c r="G629" s="137"/>
      <c r="H629" s="67">
        <f>+Table_1[[#This Row],[Column7]]+Table_1[[#This Row],[Column6]]+Table_1[[#This Row],[Column5]]+Table_1[[#This Row],[Column4]]</f>
        <v>100</v>
      </c>
      <c r="I629" s="38">
        <v>5500</v>
      </c>
      <c r="J629" s="34">
        <f>'PACC GENERAL 2026'!$I629*'PACC GENERAL 2026'!$H629</f>
        <v>550000</v>
      </c>
      <c r="K629" s="35"/>
      <c r="L629" s="31"/>
      <c r="M629" s="31"/>
      <c r="N629" s="31"/>
      <c r="O629" s="32" t="s">
        <v>1301</v>
      </c>
    </row>
    <row r="630" spans="1:16" s="97" customFormat="1" ht="15.5">
      <c r="A630" s="174" t="s">
        <v>25</v>
      </c>
      <c r="B630" s="174" t="s">
        <v>196</v>
      </c>
      <c r="C630" s="179" t="s">
        <v>94</v>
      </c>
      <c r="D630" s="182">
        <v>60</v>
      </c>
      <c r="E630" s="182"/>
      <c r="F630" s="182"/>
      <c r="G630" s="194"/>
      <c r="H630" s="67">
        <f>+Table_1[[#This Row],[Column7]]+Table_1[[#This Row],[Column6]]+Table_1[[#This Row],[Column5]]+Table_1[[#This Row],[Column4]]</f>
        <v>60</v>
      </c>
      <c r="I630" s="177">
        <v>6587</v>
      </c>
      <c r="J630" s="34">
        <f>'PACC GENERAL 2026'!$I630*'PACC GENERAL 2026'!$H630</f>
        <v>395220</v>
      </c>
      <c r="K630" s="186"/>
      <c r="L630" s="174"/>
      <c r="M630" s="174"/>
      <c r="N630" s="174"/>
      <c r="O630" s="32" t="s">
        <v>1301</v>
      </c>
    </row>
    <row r="631" spans="1:16" s="97" customFormat="1" ht="15.5">
      <c r="A631" s="31" t="s">
        <v>25</v>
      </c>
      <c r="B631" s="31" t="s">
        <v>197</v>
      </c>
      <c r="C631" s="32" t="s">
        <v>94</v>
      </c>
      <c r="D631" s="133">
        <v>10</v>
      </c>
      <c r="E631" s="133"/>
      <c r="F631" s="133"/>
      <c r="G631" s="137"/>
      <c r="H631" s="67">
        <f>+Table_1[[#This Row],[Column7]]+Table_1[[#This Row],[Column6]]+Table_1[[#This Row],[Column5]]+Table_1[[#This Row],[Column4]]</f>
        <v>10</v>
      </c>
      <c r="I631" s="38">
        <v>10595</v>
      </c>
      <c r="J631" s="34">
        <f>'PACC GENERAL 2026'!$I631*'PACC GENERAL 2026'!$H631</f>
        <v>105950</v>
      </c>
      <c r="K631" s="35"/>
      <c r="L631" s="31"/>
      <c r="M631" s="31"/>
      <c r="N631" s="31"/>
      <c r="O631" s="32" t="s">
        <v>1301</v>
      </c>
    </row>
    <row r="632" spans="1:16" s="287" customFormat="1" ht="15.5">
      <c r="A632" s="36" t="s">
        <v>25</v>
      </c>
      <c r="B632" s="36" t="s">
        <v>1279</v>
      </c>
      <c r="C632" s="37" t="s">
        <v>94</v>
      </c>
      <c r="D632" s="138">
        <v>50</v>
      </c>
      <c r="E632" s="138"/>
      <c r="F632" s="138"/>
      <c r="G632" s="138"/>
      <c r="H632" s="67">
        <f>+Table_1[[#This Row],[Column7]]+Table_1[[#This Row],[Column6]]+Table_1[[#This Row],[Column5]]+Table_1[[#This Row],[Column4]]</f>
        <v>50</v>
      </c>
      <c r="I632" s="38">
        <v>19500</v>
      </c>
      <c r="J632" s="34">
        <f>'PACC GENERAL 2026'!$I632*'PACC GENERAL 2026'!$H632</f>
        <v>975000</v>
      </c>
      <c r="K632" s="40"/>
      <c r="L632" s="31"/>
      <c r="M632" s="31"/>
      <c r="N632" s="31"/>
      <c r="O632" s="32" t="s">
        <v>1301</v>
      </c>
      <c r="P632" s="323"/>
    </row>
    <row r="633" spans="1:16" s="287" customFormat="1" ht="15.5">
      <c r="A633" s="36" t="s">
        <v>25</v>
      </c>
      <c r="B633" s="36" t="s">
        <v>1280</v>
      </c>
      <c r="C633" s="37" t="s">
        <v>94</v>
      </c>
      <c r="D633" s="195">
        <v>40</v>
      </c>
      <c r="E633" s="295"/>
      <c r="F633" s="195"/>
      <c r="G633" s="213"/>
      <c r="H633" s="67">
        <f>+Table_1[[#This Row],[Column7]]+Table_1[[#This Row],[Column6]]+Table_1[[#This Row],[Column5]]+Table_1[[#This Row],[Column4]]</f>
        <v>40</v>
      </c>
      <c r="I633" s="38">
        <v>22000</v>
      </c>
      <c r="J633" s="34">
        <f>'PACC GENERAL 2026'!$I633*'PACC GENERAL 2026'!$H633</f>
        <v>880000</v>
      </c>
      <c r="K633" s="40"/>
      <c r="L633" s="164"/>
      <c r="M633" s="164"/>
      <c r="N633" s="164"/>
      <c r="O633" s="32" t="s">
        <v>1301</v>
      </c>
      <c r="P633" s="323"/>
    </row>
    <row r="634" spans="1:16" s="287" customFormat="1" ht="15.5">
      <c r="A634" s="175" t="s">
        <v>25</v>
      </c>
      <c r="B634" s="175" t="s">
        <v>1281</v>
      </c>
      <c r="C634" s="187" t="s">
        <v>94</v>
      </c>
      <c r="D634" s="195">
        <v>16</v>
      </c>
      <c r="E634" s="295"/>
      <c r="F634" s="195"/>
      <c r="G634" s="295"/>
      <c r="H634" s="67">
        <f>+Table_1[[#This Row],[Column7]]+Table_1[[#This Row],[Column6]]+Table_1[[#This Row],[Column5]]+Table_1[[#This Row],[Column4]]</f>
        <v>16</v>
      </c>
      <c r="I634" s="177">
        <v>27500</v>
      </c>
      <c r="J634" s="34">
        <f>'PACC GENERAL 2026'!$I634*'PACC GENERAL 2026'!$H634</f>
        <v>440000</v>
      </c>
      <c r="K634" s="204"/>
      <c r="L634" s="206"/>
      <c r="M634" s="206"/>
      <c r="N634" s="206"/>
      <c r="O634" s="32" t="s">
        <v>1301</v>
      </c>
      <c r="P634" s="323"/>
    </row>
    <row r="635" spans="1:16" s="287" customFormat="1" ht="15.5">
      <c r="A635" s="36" t="s">
        <v>25</v>
      </c>
      <c r="B635" s="36" t="s">
        <v>1282</v>
      </c>
      <c r="C635" s="37" t="s">
        <v>94</v>
      </c>
      <c r="D635" s="138">
        <v>16</v>
      </c>
      <c r="E635" s="138"/>
      <c r="F635" s="138"/>
      <c r="G635" s="213"/>
      <c r="H635" s="67">
        <f>+Table_1[[#This Row],[Column7]]+Table_1[[#This Row],[Column6]]+Table_1[[#This Row],[Column5]]+Table_1[[#This Row],[Column4]]</f>
        <v>16</v>
      </c>
      <c r="I635" s="38">
        <v>30000</v>
      </c>
      <c r="J635" s="34">
        <f>'PACC GENERAL 2026'!$I635*'PACC GENERAL 2026'!$H635</f>
        <v>480000</v>
      </c>
      <c r="K635" s="40"/>
      <c r="L635" s="31"/>
      <c r="M635" s="31"/>
      <c r="N635" s="31"/>
      <c r="O635" s="32" t="s">
        <v>1301</v>
      </c>
      <c r="P635" s="323"/>
    </row>
    <row r="636" spans="1:16" s="287" customFormat="1" ht="15.5">
      <c r="A636" s="36" t="s">
        <v>25</v>
      </c>
      <c r="B636" s="36" t="s">
        <v>1283</v>
      </c>
      <c r="C636" s="37" t="s">
        <v>94</v>
      </c>
      <c r="D636" s="138">
        <v>18</v>
      </c>
      <c r="E636" s="138"/>
      <c r="F636" s="138"/>
      <c r="G636" s="138"/>
      <c r="H636" s="67">
        <f>+Table_1[[#This Row],[Column7]]+Table_1[[#This Row],[Column6]]+Table_1[[#This Row],[Column5]]+Table_1[[#This Row],[Column4]]</f>
        <v>18</v>
      </c>
      <c r="I636" s="38">
        <v>3440</v>
      </c>
      <c r="J636" s="34">
        <f>'PACC GENERAL 2026'!$I636*'PACC GENERAL 2026'!$H636</f>
        <v>61920</v>
      </c>
      <c r="K636" s="40"/>
      <c r="L636" s="31"/>
      <c r="M636" s="31"/>
      <c r="N636" s="31"/>
      <c r="O636" s="32" t="s">
        <v>1301</v>
      </c>
      <c r="P636" s="323"/>
    </row>
    <row r="637" spans="1:16" s="97" customFormat="1" ht="15.5">
      <c r="A637" s="31" t="s">
        <v>25</v>
      </c>
      <c r="B637" s="31" t="s">
        <v>682</v>
      </c>
      <c r="C637" s="32" t="s">
        <v>94</v>
      </c>
      <c r="D637" s="133">
        <v>36</v>
      </c>
      <c r="E637" s="133"/>
      <c r="F637" s="133"/>
      <c r="G637" s="137"/>
      <c r="H637" s="67">
        <f>+Table_1[[#This Row],[Column7]]+Table_1[[#This Row],[Column6]]+Table_1[[#This Row],[Column5]]+Table_1[[#This Row],[Column4]]</f>
        <v>36</v>
      </c>
      <c r="I637" s="38">
        <v>7684</v>
      </c>
      <c r="J637" s="34">
        <f>'PACC GENERAL 2026'!$I637*'PACC GENERAL 2026'!$H637</f>
        <v>276624</v>
      </c>
      <c r="K637" s="35"/>
      <c r="L637" s="31"/>
      <c r="M637" s="31"/>
      <c r="N637" s="31"/>
      <c r="O637" s="32" t="s">
        <v>1301</v>
      </c>
    </row>
    <row r="638" spans="1:16" s="97" customFormat="1" ht="15.5">
      <c r="A638" s="31" t="s">
        <v>25</v>
      </c>
      <c r="B638" s="31" t="s">
        <v>683</v>
      </c>
      <c r="C638" s="32" t="s">
        <v>94</v>
      </c>
      <c r="D638" s="133">
        <v>36</v>
      </c>
      <c r="E638" s="133"/>
      <c r="F638" s="133"/>
      <c r="G638" s="137"/>
      <c r="H638" s="67">
        <f>+Table_1[[#This Row],[Column7]]+Table_1[[#This Row],[Column6]]+Table_1[[#This Row],[Column5]]+Table_1[[#This Row],[Column4]]</f>
        <v>36</v>
      </c>
      <c r="I638" s="38">
        <v>10644</v>
      </c>
      <c r="J638" s="34">
        <f>'PACC GENERAL 2026'!$I638*'PACC GENERAL 2026'!$H638</f>
        <v>383184</v>
      </c>
      <c r="K638" s="35"/>
      <c r="L638" s="31"/>
      <c r="M638" s="31"/>
      <c r="N638" s="31"/>
      <c r="O638" s="32" t="s">
        <v>1301</v>
      </c>
    </row>
    <row r="639" spans="1:16" s="287" customFormat="1" ht="15.5">
      <c r="A639" s="36" t="s">
        <v>25</v>
      </c>
      <c r="B639" s="36" t="s">
        <v>1284</v>
      </c>
      <c r="C639" s="37" t="s">
        <v>94</v>
      </c>
      <c r="D639" s="213">
        <v>18</v>
      </c>
      <c r="E639" s="138"/>
      <c r="F639" s="138"/>
      <c r="G639" s="138"/>
      <c r="H639" s="67">
        <f>+Table_1[[#This Row],[Column7]]+Table_1[[#This Row],[Column6]]+Table_1[[#This Row],[Column5]]+Table_1[[#This Row],[Column4]]</f>
        <v>18</v>
      </c>
      <c r="I639" s="38">
        <v>15771</v>
      </c>
      <c r="J639" s="34">
        <f>'PACC GENERAL 2026'!$I639*'PACC GENERAL 2026'!$H639</f>
        <v>283878</v>
      </c>
      <c r="K639" s="40"/>
      <c r="L639" s="31"/>
      <c r="M639" s="31"/>
      <c r="N639" s="31"/>
      <c r="O639" s="32" t="s">
        <v>1301</v>
      </c>
      <c r="P639" s="323"/>
    </row>
    <row r="640" spans="1:16" s="287" customFormat="1" ht="15.5">
      <c r="A640" s="36" t="s">
        <v>25</v>
      </c>
      <c r="B640" s="36" t="s">
        <v>1285</v>
      </c>
      <c r="C640" s="37" t="s">
        <v>94</v>
      </c>
      <c r="D640" s="213">
        <v>18</v>
      </c>
      <c r="E640" s="213"/>
      <c r="F640" s="138"/>
      <c r="G640" s="138"/>
      <c r="H640" s="67">
        <f>+Table_1[[#This Row],[Column7]]+Table_1[[#This Row],[Column6]]+Table_1[[#This Row],[Column5]]+Table_1[[#This Row],[Column4]]</f>
        <v>18</v>
      </c>
      <c r="I640" s="38">
        <v>3440</v>
      </c>
      <c r="J640" s="34">
        <f>'PACC GENERAL 2026'!$I640*'PACC GENERAL 2026'!$H640</f>
        <v>61920</v>
      </c>
      <c r="K640" s="40"/>
      <c r="L640" s="31"/>
      <c r="M640" s="31"/>
      <c r="N640" s="31"/>
      <c r="O640" s="32" t="s">
        <v>1301</v>
      </c>
      <c r="P640" s="323"/>
    </row>
    <row r="641" spans="1:16" s="97" customFormat="1" ht="15.5">
      <c r="A641" s="31" t="s">
        <v>25</v>
      </c>
      <c r="B641" s="31" t="s">
        <v>684</v>
      </c>
      <c r="C641" s="32" t="s">
        <v>94</v>
      </c>
      <c r="D641" s="133">
        <v>36</v>
      </c>
      <c r="E641" s="133"/>
      <c r="F641" s="133"/>
      <c r="G641" s="137"/>
      <c r="H641" s="67">
        <f>+Table_1[[#This Row],[Column7]]+Table_1[[#This Row],[Column6]]+Table_1[[#This Row],[Column5]]+Table_1[[#This Row],[Column4]]</f>
        <v>36</v>
      </c>
      <c r="I641" s="38">
        <v>7684</v>
      </c>
      <c r="J641" s="34">
        <f>'PACC GENERAL 2026'!$I641*'PACC GENERAL 2026'!$H641</f>
        <v>276624</v>
      </c>
      <c r="K641" s="35"/>
      <c r="L641" s="31"/>
      <c r="M641" s="31"/>
      <c r="N641" s="32"/>
      <c r="O641" s="32" t="s">
        <v>1301</v>
      </c>
    </row>
    <row r="642" spans="1:16" s="97" customFormat="1" ht="15.5">
      <c r="A642" s="31" t="s">
        <v>25</v>
      </c>
      <c r="B642" s="31" t="s">
        <v>685</v>
      </c>
      <c r="C642" s="32" t="s">
        <v>94</v>
      </c>
      <c r="D642" s="133">
        <v>36</v>
      </c>
      <c r="E642" s="133"/>
      <c r="F642" s="133"/>
      <c r="G642" s="137"/>
      <c r="H642" s="67">
        <f>+Table_1[[#This Row],[Column7]]+Table_1[[#This Row],[Column6]]+Table_1[[#This Row],[Column5]]+Table_1[[#This Row],[Column4]]</f>
        <v>36</v>
      </c>
      <c r="I642" s="38">
        <v>10644</v>
      </c>
      <c r="J642" s="34">
        <f>'PACC GENERAL 2026'!$I642*'PACC GENERAL 2026'!$H642</f>
        <v>383184</v>
      </c>
      <c r="K642" s="35"/>
      <c r="L642" s="31"/>
      <c r="M642" s="31"/>
      <c r="N642" s="31"/>
      <c r="O642" s="32" t="s">
        <v>1301</v>
      </c>
    </row>
    <row r="643" spans="1:16" s="287" customFormat="1" ht="15.5">
      <c r="A643" s="175" t="s">
        <v>25</v>
      </c>
      <c r="B643" s="175" t="s">
        <v>1286</v>
      </c>
      <c r="C643" s="37" t="s">
        <v>94</v>
      </c>
      <c r="D643" s="295">
        <v>18</v>
      </c>
      <c r="E643" s="295"/>
      <c r="F643" s="195"/>
      <c r="G643" s="138"/>
      <c r="H643" s="67">
        <f>+Table_1[[#This Row],[Column7]]+Table_1[[#This Row],[Column6]]+Table_1[[#This Row],[Column5]]+Table_1[[#This Row],[Column4]]</f>
        <v>18</v>
      </c>
      <c r="I643" s="38">
        <v>15771</v>
      </c>
      <c r="J643" s="34">
        <f>'PACC GENERAL 2026'!$I643*'PACC GENERAL 2026'!$H643</f>
        <v>283878</v>
      </c>
      <c r="K643" s="40"/>
      <c r="L643" s="31"/>
      <c r="M643" s="174"/>
      <c r="N643" s="174"/>
      <c r="O643" s="32" t="s">
        <v>1301</v>
      </c>
      <c r="P643" s="323"/>
    </row>
    <row r="644" spans="1:16" s="97" customFormat="1" ht="15.5">
      <c r="A644" s="31" t="s">
        <v>25</v>
      </c>
      <c r="B644" s="31" t="s">
        <v>686</v>
      </c>
      <c r="C644" s="32" t="s">
        <v>94</v>
      </c>
      <c r="D644" s="133">
        <v>36</v>
      </c>
      <c r="E644" s="133"/>
      <c r="F644" s="133"/>
      <c r="G644" s="137"/>
      <c r="H644" s="67">
        <f>+Table_1[[#This Row],[Column7]]+Table_1[[#This Row],[Column6]]+Table_1[[#This Row],[Column5]]+Table_1[[#This Row],[Column4]]</f>
        <v>36</v>
      </c>
      <c r="I644" s="38">
        <v>3167</v>
      </c>
      <c r="J644" s="34">
        <f>'PACC GENERAL 2026'!$I644*'PACC GENERAL 2026'!$H644</f>
        <v>114012</v>
      </c>
      <c r="K644" s="35"/>
      <c r="L644" s="31"/>
      <c r="M644" s="31"/>
      <c r="N644" s="31"/>
      <c r="O644" s="32" t="s">
        <v>1301</v>
      </c>
    </row>
    <row r="645" spans="1:16" s="97" customFormat="1" ht="15.5">
      <c r="A645" s="31" t="s">
        <v>25</v>
      </c>
      <c r="B645" s="31" t="s">
        <v>687</v>
      </c>
      <c r="C645" s="32" t="s">
        <v>94</v>
      </c>
      <c r="D645" s="133">
        <v>36</v>
      </c>
      <c r="E645" s="133"/>
      <c r="F645" s="133"/>
      <c r="G645" s="137"/>
      <c r="H645" s="67">
        <f>+Table_1[[#This Row],[Column7]]+Table_1[[#This Row],[Column6]]+Table_1[[#This Row],[Column5]]+Table_1[[#This Row],[Column4]]</f>
        <v>36</v>
      </c>
      <c r="I645" s="38">
        <v>7807</v>
      </c>
      <c r="J645" s="34">
        <f>'PACC GENERAL 2026'!$I645*'PACC GENERAL 2026'!$H645</f>
        <v>281052</v>
      </c>
      <c r="K645" s="35"/>
      <c r="L645" s="31"/>
      <c r="M645" s="31"/>
      <c r="N645" s="31"/>
      <c r="O645" s="32" t="s">
        <v>1301</v>
      </c>
      <c r="P645" s="320"/>
    </row>
    <row r="646" spans="1:16" s="97" customFormat="1" ht="15.5">
      <c r="A646" s="31" t="s">
        <v>25</v>
      </c>
      <c r="B646" s="31" t="s">
        <v>1287</v>
      </c>
      <c r="C646" s="32" t="s">
        <v>94</v>
      </c>
      <c r="D646" s="283">
        <v>18</v>
      </c>
      <c r="E646" s="133"/>
      <c r="F646" s="133"/>
      <c r="G646" s="137"/>
      <c r="H646" s="67">
        <f>+Table_1[[#This Row],[Column7]]+Table_1[[#This Row],[Column6]]+Table_1[[#This Row],[Column5]]+Table_1[[#This Row],[Column4]]</f>
        <v>18</v>
      </c>
      <c r="I646" s="38">
        <v>10644</v>
      </c>
      <c r="J646" s="34">
        <f>'PACC GENERAL 2026'!$I646*'PACC GENERAL 2026'!$H646</f>
        <v>191592</v>
      </c>
      <c r="K646" s="35"/>
      <c r="L646" s="31"/>
      <c r="M646" s="31"/>
      <c r="N646" s="31"/>
      <c r="O646" s="32" t="s">
        <v>1301</v>
      </c>
      <c r="P646" s="320"/>
    </row>
    <row r="647" spans="1:16" s="97" customFormat="1" ht="15.5">
      <c r="A647" s="31" t="s">
        <v>25</v>
      </c>
      <c r="B647" s="31" t="s">
        <v>1288</v>
      </c>
      <c r="C647" s="32" t="s">
        <v>94</v>
      </c>
      <c r="D647" s="283">
        <v>18</v>
      </c>
      <c r="E647" s="133"/>
      <c r="F647" s="133"/>
      <c r="G647" s="137"/>
      <c r="H647" s="67">
        <f>+Table_1[[#This Row],[Column7]]+Table_1[[#This Row],[Column6]]+Table_1[[#This Row],[Column5]]+Table_1[[#This Row],[Column4]]</f>
        <v>18</v>
      </c>
      <c r="I647" s="38">
        <v>15771</v>
      </c>
      <c r="J647" s="34">
        <f>'PACC GENERAL 2026'!$I647*'PACC GENERAL 2026'!$H647</f>
        <v>283878</v>
      </c>
      <c r="K647" s="35"/>
      <c r="L647" s="31"/>
      <c r="M647" s="31"/>
      <c r="N647" s="31"/>
      <c r="O647" s="32" t="s">
        <v>1301</v>
      </c>
      <c r="P647" s="320"/>
    </row>
    <row r="648" spans="1:16" s="97" customFormat="1" ht="15.5">
      <c r="A648" s="31" t="s">
        <v>25</v>
      </c>
      <c r="B648" s="31" t="s">
        <v>680</v>
      </c>
      <c r="C648" s="32" t="s">
        <v>94</v>
      </c>
      <c r="D648" s="133">
        <v>150</v>
      </c>
      <c r="E648" s="133"/>
      <c r="F648" s="133"/>
      <c r="G648" s="137"/>
      <c r="H648" s="67">
        <f>+Table_1[[#This Row],[Column7]]+Table_1[[#This Row],[Column6]]+Table_1[[#This Row],[Column5]]+Table_1[[#This Row],[Column4]]</f>
        <v>150</v>
      </c>
      <c r="I648" s="38">
        <v>2595.71</v>
      </c>
      <c r="J648" s="34">
        <f>'PACC GENERAL 2026'!$I648*'PACC GENERAL 2026'!$H648</f>
        <v>389356.5</v>
      </c>
      <c r="K648" s="35"/>
      <c r="L648" s="31"/>
      <c r="M648" s="31"/>
      <c r="N648" s="31"/>
      <c r="O648" s="32" t="s">
        <v>1301</v>
      </c>
    </row>
    <row r="649" spans="1:16" s="97" customFormat="1" ht="15.5">
      <c r="A649" s="31" t="s">
        <v>25</v>
      </c>
      <c r="B649" s="31" t="s">
        <v>681</v>
      </c>
      <c r="C649" s="32" t="s">
        <v>94</v>
      </c>
      <c r="D649" s="133">
        <v>150</v>
      </c>
      <c r="E649" s="133"/>
      <c r="F649" s="133"/>
      <c r="G649" s="137"/>
      <c r="H649" s="67">
        <f>+Table_1[[#This Row],[Column7]]+Table_1[[#This Row],[Column6]]+Table_1[[#This Row],[Column5]]+Table_1[[#This Row],[Column4]]</f>
        <v>150</v>
      </c>
      <c r="I649" s="38">
        <v>2874.48</v>
      </c>
      <c r="J649" s="34">
        <f>'PACC GENERAL 2026'!$I649*'PACC GENERAL 2026'!$H649</f>
        <v>431172</v>
      </c>
      <c r="K649" s="35"/>
      <c r="L649" s="31"/>
      <c r="M649" s="31"/>
      <c r="N649" s="31"/>
      <c r="O649" s="32" t="s">
        <v>1301</v>
      </c>
    </row>
    <row r="650" spans="1:16" s="97" customFormat="1" ht="15.5">
      <c r="A650" s="31" t="s">
        <v>25</v>
      </c>
      <c r="B650" s="31" t="s">
        <v>585</v>
      </c>
      <c r="C650" s="32" t="s">
        <v>94</v>
      </c>
      <c r="D650" s="133">
        <v>16</v>
      </c>
      <c r="E650" s="133"/>
      <c r="F650" s="133"/>
      <c r="G650" s="137"/>
      <c r="H650" s="67">
        <f>+Table_1[[#This Row],[Column7]]+Table_1[[#This Row],[Column6]]+Table_1[[#This Row],[Column5]]+Table_1[[#This Row],[Column4]]</f>
        <v>16</v>
      </c>
      <c r="I650" s="38">
        <v>8000</v>
      </c>
      <c r="J650" s="34">
        <f>'PACC GENERAL 2026'!$I650*'PACC GENERAL 2026'!$H650</f>
        <v>128000</v>
      </c>
      <c r="K650" s="35"/>
      <c r="L650" s="31"/>
      <c r="M650" s="31"/>
      <c r="N650" s="32"/>
      <c r="O650" s="32" t="s">
        <v>1301</v>
      </c>
      <c r="P650" s="320"/>
    </row>
    <row r="651" spans="1:16" s="97" customFormat="1" ht="15.5">
      <c r="A651" s="31" t="s">
        <v>25</v>
      </c>
      <c r="B651" s="31" t="s">
        <v>586</v>
      </c>
      <c r="C651" s="32" t="s">
        <v>94</v>
      </c>
      <c r="D651" s="133">
        <v>18</v>
      </c>
      <c r="E651" s="133"/>
      <c r="F651" s="133"/>
      <c r="G651" s="137"/>
      <c r="H651" s="67">
        <f>+Table_1[[#This Row],[Column7]]+Table_1[[#This Row],[Column6]]+Table_1[[#This Row],[Column5]]+Table_1[[#This Row],[Column4]]</f>
        <v>18</v>
      </c>
      <c r="I651" s="38">
        <v>11500</v>
      </c>
      <c r="J651" s="34">
        <f>'PACC GENERAL 2026'!$I651*'PACC GENERAL 2026'!$H651</f>
        <v>207000</v>
      </c>
      <c r="K651" s="35"/>
      <c r="L651" s="31"/>
      <c r="M651" s="31"/>
      <c r="N651" s="32"/>
      <c r="O651" s="32" t="s">
        <v>1301</v>
      </c>
      <c r="P651" s="320"/>
    </row>
    <row r="652" spans="1:16" s="97" customFormat="1" ht="15.75" customHeight="1">
      <c r="A652" s="31" t="s">
        <v>25</v>
      </c>
      <c r="B652" s="31" t="s">
        <v>1298</v>
      </c>
      <c r="C652" s="32" t="s">
        <v>94</v>
      </c>
      <c r="D652" s="133">
        <v>6</v>
      </c>
      <c r="E652" s="133"/>
      <c r="F652" s="133"/>
      <c r="G652" s="133"/>
      <c r="H652" s="67">
        <f>+Table_1[[#This Row],[Column7]]+Table_1[[#This Row],[Column6]]+Table_1[[#This Row],[Column5]]+Table_1[[#This Row],[Column4]]</f>
        <v>6</v>
      </c>
      <c r="I652" s="38">
        <v>251225</v>
      </c>
      <c r="J652" s="34">
        <f>'PACC GENERAL 2026'!$I652*'PACC GENERAL 2026'!$H652</f>
        <v>1507350</v>
      </c>
      <c r="K652" s="35"/>
      <c r="L652" s="31"/>
      <c r="O652" s="32" t="s">
        <v>1301</v>
      </c>
    </row>
    <row r="653" spans="1:16" s="97" customFormat="1" ht="15.75" customHeight="1">
      <c r="A653" s="31" t="s">
        <v>25</v>
      </c>
      <c r="B653" s="31" t="s">
        <v>1299</v>
      </c>
      <c r="C653" s="32" t="s">
        <v>94</v>
      </c>
      <c r="D653" s="133">
        <v>5</v>
      </c>
      <c r="E653" s="133"/>
      <c r="F653" s="133"/>
      <c r="G653" s="133"/>
      <c r="H653" s="67">
        <f>+Table_1[[#This Row],[Column7]]+Table_1[[#This Row],[Column6]]+Table_1[[#This Row],[Column5]]+Table_1[[#This Row],[Column4]]</f>
        <v>5</v>
      </c>
      <c r="I653" s="38">
        <v>368162</v>
      </c>
      <c r="J653" s="34">
        <f>'PACC GENERAL 2026'!$I653*'PACC GENERAL 2026'!$H653</f>
        <v>1840810</v>
      </c>
      <c r="K653" s="35"/>
      <c r="L653" s="31"/>
      <c r="O653" s="32" t="s">
        <v>1301</v>
      </c>
    </row>
    <row r="654" spans="1:16" s="97" customFormat="1" ht="15.5">
      <c r="A654" s="31" t="s">
        <v>25</v>
      </c>
      <c r="B654" s="31" t="s">
        <v>1300</v>
      </c>
      <c r="C654" s="32" t="s">
        <v>94</v>
      </c>
      <c r="D654" s="133">
        <v>2</v>
      </c>
      <c r="E654" s="133"/>
      <c r="F654" s="133"/>
      <c r="G654" s="133"/>
      <c r="H654" s="67">
        <f>+Table_1[[#This Row],[Column7]]+Table_1[[#This Row],[Column6]]+Table_1[[#This Row],[Column5]]+Table_1[[#This Row],[Column4]]</f>
        <v>2</v>
      </c>
      <c r="I654" s="38">
        <v>520000</v>
      </c>
      <c r="J654" s="34">
        <f>'PACC GENERAL 2026'!$I654*'PACC GENERAL 2026'!$H654</f>
        <v>1040000</v>
      </c>
      <c r="K654" s="35"/>
      <c r="L654" s="31"/>
      <c r="M654" s="31"/>
      <c r="N654" s="31"/>
      <c r="O654" s="32" t="s">
        <v>1301</v>
      </c>
      <c r="P654" s="320"/>
    </row>
    <row r="655" spans="1:16" s="97" customFormat="1" ht="15.5">
      <c r="A655" s="31" t="s">
        <v>25</v>
      </c>
      <c r="B655" s="31" t="s">
        <v>587</v>
      </c>
      <c r="C655" s="32" t="s">
        <v>94</v>
      </c>
      <c r="D655" s="133">
        <v>10</v>
      </c>
      <c r="E655" s="133"/>
      <c r="F655" s="133"/>
      <c r="G655" s="137"/>
      <c r="H655" s="67">
        <f>+Table_1[[#This Row],[Column7]]+Table_1[[#This Row],[Column6]]+Table_1[[#This Row],[Column5]]+Table_1[[#This Row],[Column4]]</f>
        <v>10</v>
      </c>
      <c r="I655" s="38">
        <v>13500</v>
      </c>
      <c r="J655" s="34">
        <f>'PACC GENERAL 2026'!$I655*'PACC GENERAL 2026'!$H655</f>
        <v>135000</v>
      </c>
      <c r="K655" s="35"/>
      <c r="L655" s="31"/>
      <c r="M655" s="31"/>
      <c r="N655" s="32"/>
      <c r="O655" s="32" t="s">
        <v>1301</v>
      </c>
      <c r="P655" s="320"/>
    </row>
    <row r="656" spans="1:16" s="97" customFormat="1" ht="15.5">
      <c r="A656" s="31" t="s">
        <v>25</v>
      </c>
      <c r="B656" s="31" t="s">
        <v>699</v>
      </c>
      <c r="C656" s="32" t="s">
        <v>94</v>
      </c>
      <c r="D656" s="133">
        <v>100</v>
      </c>
      <c r="E656" s="133"/>
      <c r="F656" s="133"/>
      <c r="G656" s="137"/>
      <c r="H656" s="67">
        <f>+Table_1[[#This Row],[Column7]]+Table_1[[#This Row],[Column6]]+Table_1[[#This Row],[Column5]]+Table_1[[#This Row],[Column4]]</f>
        <v>100</v>
      </c>
      <c r="I656" s="38">
        <v>6957</v>
      </c>
      <c r="J656" s="34">
        <f>'PACC GENERAL 2026'!$I656*'PACC GENERAL 2026'!$H656</f>
        <v>695700</v>
      </c>
      <c r="K656" s="35"/>
      <c r="L656" s="31"/>
      <c r="M656" s="31"/>
      <c r="N656" s="32"/>
      <c r="O656" s="32" t="s">
        <v>1301</v>
      </c>
      <c r="P656" s="320"/>
    </row>
    <row r="657" spans="1:16" s="97" customFormat="1" ht="15.5">
      <c r="A657" s="31" t="s">
        <v>25</v>
      </c>
      <c r="B657" s="31" t="s">
        <v>700</v>
      </c>
      <c r="C657" s="32" t="s">
        <v>94</v>
      </c>
      <c r="D657" s="133">
        <v>100</v>
      </c>
      <c r="E657" s="133"/>
      <c r="F657" s="133"/>
      <c r="G657" s="137"/>
      <c r="H657" s="67">
        <f>+Table_1[[#This Row],[Column7]]+Table_1[[#This Row],[Column6]]+Table_1[[#This Row],[Column5]]+Table_1[[#This Row],[Column4]]</f>
        <v>100</v>
      </c>
      <c r="I657" s="38">
        <v>10416.17</v>
      </c>
      <c r="J657" s="34">
        <f>'PACC GENERAL 2026'!$I657*'PACC GENERAL 2026'!$H657</f>
        <v>1041617</v>
      </c>
      <c r="K657" s="35"/>
      <c r="L657" s="31"/>
      <c r="M657" s="31"/>
      <c r="N657" s="32"/>
      <c r="O657" s="32" t="s">
        <v>1301</v>
      </c>
      <c r="P657" s="320"/>
    </row>
    <row r="658" spans="1:16" s="97" customFormat="1" ht="15.5">
      <c r="A658" s="31" t="s">
        <v>25</v>
      </c>
      <c r="B658" s="31" t="s">
        <v>701</v>
      </c>
      <c r="C658" s="32" t="s">
        <v>94</v>
      </c>
      <c r="D658" s="133">
        <v>300</v>
      </c>
      <c r="E658" s="133"/>
      <c r="F658" s="133"/>
      <c r="G658" s="137"/>
      <c r="H658" s="67">
        <f>+Table_1[[#This Row],[Column7]]+Table_1[[#This Row],[Column6]]+Table_1[[#This Row],[Column5]]+Table_1[[#This Row],[Column4]]</f>
        <v>300</v>
      </c>
      <c r="I658" s="38">
        <v>100</v>
      </c>
      <c r="J658" s="34">
        <f>'PACC GENERAL 2026'!$I658*'PACC GENERAL 2026'!$H658</f>
        <v>30000</v>
      </c>
      <c r="K658" s="35"/>
      <c r="L658" s="31"/>
      <c r="M658" s="31"/>
      <c r="N658" s="32"/>
      <c r="O658" s="32" t="s">
        <v>1301</v>
      </c>
      <c r="P658" s="320"/>
    </row>
    <row r="659" spans="1:16" s="97" customFormat="1" ht="15.5">
      <c r="A659" s="31" t="s">
        <v>25</v>
      </c>
      <c r="B659" s="31" t="s">
        <v>702</v>
      </c>
      <c r="C659" s="32" t="s">
        <v>94</v>
      </c>
      <c r="D659" s="133">
        <v>300</v>
      </c>
      <c r="E659" s="133"/>
      <c r="F659" s="133"/>
      <c r="G659" s="137"/>
      <c r="H659" s="67">
        <f>+Table_1[[#This Row],[Column7]]+Table_1[[#This Row],[Column6]]+Table_1[[#This Row],[Column5]]+Table_1[[#This Row],[Column4]]</f>
        <v>300</v>
      </c>
      <c r="I659" s="38">
        <v>55</v>
      </c>
      <c r="J659" s="34">
        <f>'PACC GENERAL 2026'!$I659*'PACC GENERAL 2026'!$H659</f>
        <v>16500</v>
      </c>
      <c r="K659" s="35"/>
      <c r="L659" s="31"/>
      <c r="M659" s="31"/>
      <c r="N659" s="32"/>
      <c r="O659" s="32" t="s">
        <v>1301</v>
      </c>
    </row>
    <row r="660" spans="1:16" s="97" customFormat="1" ht="15.5">
      <c r="A660" s="31" t="s">
        <v>25</v>
      </c>
      <c r="B660" s="31" t="s">
        <v>429</v>
      </c>
      <c r="C660" s="32" t="s">
        <v>94</v>
      </c>
      <c r="D660" s="133">
        <v>230</v>
      </c>
      <c r="E660" s="133"/>
      <c r="F660" s="133"/>
      <c r="G660" s="137"/>
      <c r="H660" s="67">
        <f>+Table_1[[#This Row],[Column7]]+Table_1[[#This Row],[Column6]]+Table_1[[#This Row],[Column5]]+Table_1[[#This Row],[Column4]]</f>
        <v>230</v>
      </c>
      <c r="I660" s="38">
        <v>115</v>
      </c>
      <c r="J660" s="34">
        <f>'PACC GENERAL 2026'!$I660*'PACC GENERAL 2026'!$H660</f>
        <v>26450</v>
      </c>
      <c r="K660" s="35"/>
      <c r="L660" s="31"/>
      <c r="M660" s="31"/>
      <c r="N660" s="32"/>
      <c r="O660" s="32" t="s">
        <v>1649</v>
      </c>
      <c r="P660" s="320"/>
    </row>
    <row r="661" spans="1:16" s="97" customFormat="1" ht="15.5">
      <c r="A661" s="31" t="s">
        <v>25</v>
      </c>
      <c r="B661" s="31" t="s">
        <v>428</v>
      </c>
      <c r="C661" s="32" t="s">
        <v>94</v>
      </c>
      <c r="D661" s="133">
        <v>215</v>
      </c>
      <c r="E661" s="133"/>
      <c r="F661" s="133"/>
      <c r="G661" s="137"/>
      <c r="H661" s="67">
        <f>+Table_1[[#This Row],[Column7]]+Table_1[[#This Row],[Column6]]+Table_1[[#This Row],[Column5]]+Table_1[[#This Row],[Column4]]</f>
        <v>215</v>
      </c>
      <c r="I661" s="38">
        <v>125</v>
      </c>
      <c r="J661" s="34">
        <f>'PACC GENERAL 2026'!$I661*'PACC GENERAL 2026'!$H661</f>
        <v>26875</v>
      </c>
      <c r="K661" s="35"/>
      <c r="L661" s="31"/>
      <c r="M661" s="31"/>
      <c r="N661" s="32"/>
      <c r="O661" s="32" t="s">
        <v>1650</v>
      </c>
      <c r="P661" s="320"/>
    </row>
    <row r="662" spans="1:16" s="97" customFormat="1" ht="31">
      <c r="A662" s="31" t="s">
        <v>25</v>
      </c>
      <c r="B662" s="31" t="s">
        <v>154</v>
      </c>
      <c r="C662" s="32" t="s">
        <v>94</v>
      </c>
      <c r="D662" s="133">
        <v>120</v>
      </c>
      <c r="E662" s="133"/>
      <c r="F662" s="133"/>
      <c r="G662" s="137"/>
      <c r="H662" s="67">
        <f>+Table_1[[#This Row],[Column7]]+Table_1[[#This Row],[Column6]]+Table_1[[#This Row],[Column5]]+Table_1[[#This Row],[Column4]]</f>
        <v>120</v>
      </c>
      <c r="I662" s="38">
        <v>11506</v>
      </c>
      <c r="J662" s="34">
        <f>'PACC GENERAL 2026'!$I662*'PACC GENERAL 2026'!$H662</f>
        <v>1380720</v>
      </c>
      <c r="K662" s="35"/>
      <c r="L662" s="31"/>
      <c r="M662" s="174"/>
      <c r="N662" s="174"/>
      <c r="O662" s="32" t="s">
        <v>1301</v>
      </c>
    </row>
    <row r="663" spans="1:16" s="97" customFormat="1" ht="35.5" customHeight="1">
      <c r="A663" s="31" t="s">
        <v>25</v>
      </c>
      <c r="B663" s="31" t="s">
        <v>155</v>
      </c>
      <c r="C663" s="32" t="s">
        <v>94</v>
      </c>
      <c r="D663" s="133">
        <v>100</v>
      </c>
      <c r="E663" s="133"/>
      <c r="F663" s="133"/>
      <c r="G663" s="137"/>
      <c r="H663" s="67">
        <f>+Table_1[[#This Row],[Column7]]+Table_1[[#This Row],[Column6]]+Table_1[[#This Row],[Column5]]+Table_1[[#This Row],[Column4]]</f>
        <v>100</v>
      </c>
      <c r="I663" s="38">
        <v>13800</v>
      </c>
      <c r="J663" s="34">
        <f>'PACC GENERAL 2026'!$I663*'PACC GENERAL 2026'!$H663</f>
        <v>1380000</v>
      </c>
      <c r="K663" s="35"/>
      <c r="L663" s="31"/>
      <c r="M663" s="31"/>
      <c r="N663" s="32"/>
      <c r="O663" s="32" t="s">
        <v>1301</v>
      </c>
    </row>
    <row r="664" spans="1:16" s="97" customFormat="1" ht="31">
      <c r="A664" s="31" t="s">
        <v>25</v>
      </c>
      <c r="B664" s="31" t="s">
        <v>156</v>
      </c>
      <c r="C664" s="32" t="s">
        <v>94</v>
      </c>
      <c r="D664" s="133">
        <v>120</v>
      </c>
      <c r="E664" s="133"/>
      <c r="F664" s="133"/>
      <c r="G664" s="133"/>
      <c r="H664" s="67">
        <f>+Table_1[[#This Row],[Column7]]+Table_1[[#This Row],[Column6]]+Table_1[[#This Row],[Column5]]+Table_1[[#This Row],[Column4]]</f>
        <v>120</v>
      </c>
      <c r="I664" s="38">
        <v>18000</v>
      </c>
      <c r="J664" s="34">
        <f>'PACC GENERAL 2026'!$I664*'PACC GENERAL 2026'!$H664</f>
        <v>2160000</v>
      </c>
      <c r="K664" s="35"/>
      <c r="L664" s="31"/>
      <c r="M664" s="31"/>
      <c r="N664" s="31"/>
      <c r="O664" s="32" t="s">
        <v>1301</v>
      </c>
      <c r="P664" s="320"/>
    </row>
    <row r="665" spans="1:16" s="287" customFormat="1" ht="35.5" customHeight="1">
      <c r="A665" s="36" t="s">
        <v>25</v>
      </c>
      <c r="B665" s="36" t="s">
        <v>157</v>
      </c>
      <c r="C665" s="37" t="s">
        <v>94</v>
      </c>
      <c r="D665" s="138">
        <v>70</v>
      </c>
      <c r="E665" s="138"/>
      <c r="F665" s="138"/>
      <c r="G665" s="138"/>
      <c r="H665" s="67">
        <f>+Table_1[[#This Row],[Column7]]+Table_1[[#This Row],[Column6]]+Table_1[[#This Row],[Column5]]+Table_1[[#This Row],[Column4]]</f>
        <v>70</v>
      </c>
      <c r="I665" s="38">
        <v>26904</v>
      </c>
      <c r="J665" s="34">
        <f>'PACC GENERAL 2026'!$I665*'PACC GENERAL 2026'!$H665</f>
        <v>1883280</v>
      </c>
      <c r="K665" s="40"/>
      <c r="L665" s="36"/>
      <c r="O665" s="32" t="s">
        <v>1301</v>
      </c>
    </row>
    <row r="666" spans="1:16" s="97" customFormat="1" ht="40" customHeight="1">
      <c r="A666" s="31" t="s">
        <v>25</v>
      </c>
      <c r="B666" s="31" t="s">
        <v>157</v>
      </c>
      <c r="C666" s="32" t="s">
        <v>94</v>
      </c>
      <c r="D666" s="133">
        <v>2</v>
      </c>
      <c r="E666" s="133"/>
      <c r="F666" s="133"/>
      <c r="G666" s="137"/>
      <c r="H666" s="67">
        <f>+Table_1[[#This Row],[Column7]]+Table_1[[#This Row],[Column6]]+Table_1[[#This Row],[Column5]]+Table_1[[#This Row],[Column4]]</f>
        <v>2</v>
      </c>
      <c r="I666" s="38">
        <v>26904</v>
      </c>
      <c r="J666" s="34">
        <f>'PACC GENERAL 2026'!$I666*'PACC GENERAL 2026'!$H666</f>
        <v>53808</v>
      </c>
      <c r="K666" s="35"/>
      <c r="L666" s="31"/>
      <c r="M666" s="31"/>
      <c r="N666" s="31"/>
      <c r="O666" s="32" t="s">
        <v>1301</v>
      </c>
      <c r="P666" s="320"/>
    </row>
    <row r="667" spans="1:16" s="97" customFormat="1" ht="41.15" customHeight="1">
      <c r="A667" s="31" t="s">
        <v>25</v>
      </c>
      <c r="B667" s="31" t="s">
        <v>1296</v>
      </c>
      <c r="C667" s="32" t="s">
        <v>94</v>
      </c>
      <c r="D667" s="137">
        <v>100</v>
      </c>
      <c r="E667" s="133"/>
      <c r="F667" s="133"/>
      <c r="G667" s="137"/>
      <c r="H667" s="67">
        <f>+Table_1[[#This Row],[Column7]]+Table_1[[#This Row],[Column6]]+Table_1[[#This Row],[Column5]]+Table_1[[#This Row],[Column4]]</f>
        <v>100</v>
      </c>
      <c r="I667" s="38">
        <v>30252</v>
      </c>
      <c r="J667" s="34">
        <f>'PACC GENERAL 2026'!$I667*'PACC GENERAL 2026'!$H667</f>
        <v>3025200</v>
      </c>
      <c r="K667" s="35"/>
      <c r="L667" s="31"/>
      <c r="O667" s="32" t="s">
        <v>1301</v>
      </c>
    </row>
    <row r="668" spans="1:16" s="97" customFormat="1" ht="40" customHeight="1">
      <c r="A668" s="31" t="s">
        <v>25</v>
      </c>
      <c r="B668" s="31" t="s">
        <v>1297</v>
      </c>
      <c r="C668" s="32" t="s">
        <v>94</v>
      </c>
      <c r="D668" s="137">
        <v>10</v>
      </c>
      <c r="E668" s="133"/>
      <c r="F668" s="133"/>
      <c r="G668" s="137"/>
      <c r="H668" s="67">
        <f>+Table_1[[#This Row],[Column7]]+Table_1[[#This Row],[Column6]]+Table_1[[#This Row],[Column5]]+Table_1[[#This Row],[Column4]]</f>
        <v>10</v>
      </c>
      <c r="I668" s="38">
        <v>195000</v>
      </c>
      <c r="J668" s="34">
        <f>'PACC GENERAL 2026'!$I668*'PACC GENERAL 2026'!$H668</f>
        <v>1950000</v>
      </c>
      <c r="K668" s="35"/>
      <c r="L668" s="31"/>
      <c r="O668" s="32" t="s">
        <v>1301</v>
      </c>
    </row>
    <row r="669" spans="1:16" s="287" customFormat="1" ht="15.75" customHeight="1">
      <c r="A669" s="36" t="s">
        <v>25</v>
      </c>
      <c r="B669" s="36" t="s">
        <v>793</v>
      </c>
      <c r="C669" s="37" t="s">
        <v>94</v>
      </c>
      <c r="D669" s="138">
        <v>100</v>
      </c>
      <c r="E669" s="138"/>
      <c r="F669" s="138"/>
      <c r="G669" s="138"/>
      <c r="H669" s="67">
        <f>+Table_1[[#This Row],[Column7]]+Table_1[[#This Row],[Column6]]+Table_1[[#This Row],[Column5]]+Table_1[[#This Row],[Column4]]</f>
        <v>100</v>
      </c>
      <c r="I669" s="38">
        <v>6136</v>
      </c>
      <c r="J669" s="34">
        <f>'PACC GENERAL 2026'!$I669*'PACC GENERAL 2026'!$H669</f>
        <v>613600</v>
      </c>
      <c r="K669" s="40"/>
      <c r="L669" s="36"/>
      <c r="O669" s="32" t="s">
        <v>1301</v>
      </c>
    </row>
    <row r="670" spans="1:16" s="287" customFormat="1" ht="15.5">
      <c r="A670" s="36" t="s">
        <v>25</v>
      </c>
      <c r="B670" s="211" t="s">
        <v>794</v>
      </c>
      <c r="C670" s="37" t="s">
        <v>94</v>
      </c>
      <c r="D670" s="213">
        <v>120</v>
      </c>
      <c r="E670" s="138"/>
      <c r="F670" s="213"/>
      <c r="G670" s="163"/>
      <c r="H670" s="67">
        <f>+Table_1[[#This Row],[Column7]]+Table_1[[#This Row],[Column6]]+Table_1[[#This Row],[Column5]]+Table_1[[#This Row],[Column4]]</f>
        <v>120</v>
      </c>
      <c r="I670" s="132">
        <v>4000</v>
      </c>
      <c r="J670" s="34">
        <f>'PACC GENERAL 2026'!$I670*'PACC GENERAL 2026'!$H670</f>
        <v>480000</v>
      </c>
      <c r="K670" s="40"/>
      <c r="L670" s="40"/>
      <c r="M670" s="40"/>
      <c r="N670" s="40"/>
      <c r="O670" s="32" t="s">
        <v>1301</v>
      </c>
      <c r="P670" s="323"/>
    </row>
    <row r="671" spans="1:16" s="97" customFormat="1" ht="15.5">
      <c r="A671" s="31" t="s">
        <v>25</v>
      </c>
      <c r="B671" s="31" t="s">
        <v>1266</v>
      </c>
      <c r="C671" s="32" t="s">
        <v>94</v>
      </c>
      <c r="D671" s="133">
        <v>40</v>
      </c>
      <c r="E671" s="133"/>
      <c r="F671" s="133"/>
      <c r="G671" s="133"/>
      <c r="H671" s="67">
        <f>+Table_1[[#This Row],[Column7]]+Table_1[[#This Row],[Column6]]+Table_1[[#This Row],[Column5]]+Table_1[[#This Row],[Column4]]</f>
        <v>40</v>
      </c>
      <c r="I671" s="38">
        <v>2500</v>
      </c>
      <c r="J671" s="34">
        <f>'PACC GENERAL 2026'!$I671*'PACC GENERAL 2026'!$H671</f>
        <v>100000</v>
      </c>
      <c r="K671" s="35"/>
      <c r="L671" s="31"/>
      <c r="M671" s="31"/>
      <c r="N671" s="31"/>
      <c r="O671" s="32" t="s">
        <v>1301</v>
      </c>
    </row>
    <row r="672" spans="1:16" s="97" customFormat="1" ht="15.5">
      <c r="A672" s="31" t="s">
        <v>25</v>
      </c>
      <c r="B672" s="31" t="s">
        <v>1267</v>
      </c>
      <c r="C672" s="32" t="s">
        <v>94</v>
      </c>
      <c r="D672" s="133">
        <v>40</v>
      </c>
      <c r="E672" s="133"/>
      <c r="F672" s="133"/>
      <c r="G672" s="133"/>
      <c r="H672" s="67">
        <f>+Table_1[[#This Row],[Column7]]+Table_1[[#This Row],[Column6]]+Table_1[[#This Row],[Column5]]+Table_1[[#This Row],[Column4]]</f>
        <v>40</v>
      </c>
      <c r="I672" s="38">
        <v>1800</v>
      </c>
      <c r="J672" s="34">
        <f>'PACC GENERAL 2026'!$I672*'PACC GENERAL 2026'!$H672</f>
        <v>72000</v>
      </c>
      <c r="K672" s="35"/>
      <c r="L672" s="31"/>
      <c r="M672" s="31"/>
      <c r="N672" s="32"/>
      <c r="O672" s="32" t="s">
        <v>1301</v>
      </c>
    </row>
    <row r="673" spans="1:16" s="287" customFormat="1" ht="15.5">
      <c r="A673" s="36" t="s">
        <v>25</v>
      </c>
      <c r="B673" s="36" t="s">
        <v>524</v>
      </c>
      <c r="C673" s="37" t="s">
        <v>94</v>
      </c>
      <c r="D673" s="138">
        <f>30+2</f>
        <v>32</v>
      </c>
      <c r="E673" s="133"/>
      <c r="F673" s="138"/>
      <c r="G673" s="138"/>
      <c r="H673" s="67">
        <f>+Table_1[[#This Row],[Column7]]+Table_1[[#This Row],[Column6]]+Table_1[[#This Row],[Column5]]+Table_1[[#This Row],[Column4]]</f>
        <v>32</v>
      </c>
      <c r="I673" s="38">
        <v>18300</v>
      </c>
      <c r="J673" s="34">
        <f>'PACC GENERAL 2026'!$I673*'PACC GENERAL 2026'!$H673</f>
        <v>585600</v>
      </c>
      <c r="K673" s="40"/>
      <c r="L673" s="36"/>
      <c r="M673" s="36"/>
      <c r="N673" s="36"/>
      <c r="O673" s="32" t="s">
        <v>1651</v>
      </c>
      <c r="P673" s="323"/>
    </row>
    <row r="674" spans="1:16" s="287" customFormat="1" ht="15.5">
      <c r="A674" s="36" t="s">
        <v>25</v>
      </c>
      <c r="B674" s="36" t="s">
        <v>525</v>
      </c>
      <c r="C674" s="37" t="s">
        <v>94</v>
      </c>
      <c r="D674" s="138">
        <v>30</v>
      </c>
      <c r="E674" s="138"/>
      <c r="F674" s="138"/>
      <c r="G674" s="138"/>
      <c r="H674" s="67">
        <f>+Table_1[[#This Row],[Column7]]+Table_1[[#This Row],[Column6]]+Table_1[[#This Row],[Column5]]+Table_1[[#This Row],[Column4]]</f>
        <v>30</v>
      </c>
      <c r="I674" s="38">
        <v>18300</v>
      </c>
      <c r="J674" s="34">
        <f>'PACC GENERAL 2026'!$I674*'PACC GENERAL 2026'!$H674</f>
        <v>549000</v>
      </c>
      <c r="K674" s="40"/>
      <c r="L674" s="36"/>
      <c r="M674" s="36"/>
      <c r="N674" s="36"/>
      <c r="O674" s="32" t="s">
        <v>1301</v>
      </c>
      <c r="P674" s="323"/>
    </row>
    <row r="675" spans="1:16" s="97" customFormat="1" ht="15.75" customHeight="1">
      <c r="A675" s="31" t="s">
        <v>25</v>
      </c>
      <c r="B675" s="31" t="s">
        <v>526</v>
      </c>
      <c r="C675" s="32" t="s">
        <v>94</v>
      </c>
      <c r="D675" s="137">
        <f>30+2</f>
        <v>32</v>
      </c>
      <c r="E675" s="133"/>
      <c r="F675" s="133"/>
      <c r="G675" s="137"/>
      <c r="H675" s="67">
        <f>+Table_1[[#This Row],[Column7]]+Table_1[[#This Row],[Column6]]+Table_1[[#This Row],[Column5]]+Table_1[[#This Row],[Column4]]</f>
        <v>32</v>
      </c>
      <c r="I675" s="38">
        <v>35000</v>
      </c>
      <c r="J675" s="34">
        <f>'PACC GENERAL 2026'!$I675*'PACC GENERAL 2026'!$H675</f>
        <v>1120000</v>
      </c>
      <c r="K675" s="35"/>
      <c r="L675" s="31"/>
      <c r="O675" s="32" t="s">
        <v>1652</v>
      </c>
    </row>
    <row r="676" spans="1:16" s="97" customFormat="1" ht="15.5">
      <c r="A676" s="31" t="s">
        <v>25</v>
      </c>
      <c r="B676" s="31" t="s">
        <v>1268</v>
      </c>
      <c r="C676" s="32" t="s">
        <v>94</v>
      </c>
      <c r="D676" s="133">
        <v>40</v>
      </c>
      <c r="E676" s="133"/>
      <c r="F676" s="133"/>
      <c r="G676" s="133"/>
      <c r="H676" s="67">
        <f>+Table_1[[#This Row],[Column7]]+Table_1[[#This Row],[Column6]]+Table_1[[#This Row],[Column5]]+Table_1[[#This Row],[Column4]]</f>
        <v>40</v>
      </c>
      <c r="I676" s="38">
        <v>12960</v>
      </c>
      <c r="J676" s="34">
        <f>'PACC GENERAL 2026'!$I676*'PACC GENERAL 2026'!$H676</f>
        <v>518400</v>
      </c>
      <c r="K676" s="35"/>
      <c r="L676" s="31"/>
      <c r="M676" s="31"/>
      <c r="N676" s="31"/>
      <c r="O676" s="32" t="s">
        <v>1301</v>
      </c>
    </row>
    <row r="677" spans="1:16" s="97" customFormat="1" ht="15.5">
      <c r="A677" s="31" t="s">
        <v>25</v>
      </c>
      <c r="B677" s="31" t="s">
        <v>1269</v>
      </c>
      <c r="C677" s="32" t="s">
        <v>94</v>
      </c>
      <c r="D677" s="133">
        <v>60</v>
      </c>
      <c r="E677" s="133"/>
      <c r="F677" s="133"/>
      <c r="G677" s="133"/>
      <c r="H677" s="67">
        <f>+Table_1[[#This Row],[Column7]]+Table_1[[#This Row],[Column6]]+Table_1[[#This Row],[Column5]]+Table_1[[#This Row],[Column4]]</f>
        <v>60</v>
      </c>
      <c r="I677" s="38">
        <v>67024</v>
      </c>
      <c r="J677" s="34">
        <f>'PACC GENERAL 2026'!$I677*'PACC GENERAL 2026'!$H677</f>
        <v>4021440</v>
      </c>
      <c r="K677" s="35"/>
      <c r="L677" s="31"/>
      <c r="M677" s="31"/>
      <c r="N677" s="31"/>
      <c r="O677" s="32" t="s">
        <v>1301</v>
      </c>
    </row>
    <row r="678" spans="1:16" s="97" customFormat="1" ht="15.5">
      <c r="A678" s="174" t="s">
        <v>25</v>
      </c>
      <c r="B678" s="174" t="s">
        <v>1270</v>
      </c>
      <c r="C678" s="179" t="s">
        <v>94</v>
      </c>
      <c r="D678" s="194">
        <v>60</v>
      </c>
      <c r="E678" s="182"/>
      <c r="F678" s="182"/>
      <c r="G678" s="182"/>
      <c r="H678" s="67">
        <f>+Table_1[[#This Row],[Column7]]+Table_1[[#This Row],[Column6]]+Table_1[[#This Row],[Column5]]+Table_1[[#This Row],[Column4]]</f>
        <v>60</v>
      </c>
      <c r="I678" s="177">
        <v>77250</v>
      </c>
      <c r="J678" s="34">
        <f>'PACC GENERAL 2026'!$I678*'PACC GENERAL 2026'!$H678</f>
        <v>4635000</v>
      </c>
      <c r="K678" s="186"/>
      <c r="L678" s="174"/>
      <c r="M678" s="174"/>
      <c r="N678" s="174"/>
      <c r="O678" s="32" t="s">
        <v>1301</v>
      </c>
      <c r="P678" s="320"/>
    </row>
    <row r="679" spans="1:16" s="287" customFormat="1" ht="15.5">
      <c r="A679" s="36" t="s">
        <v>25</v>
      </c>
      <c r="B679" s="36" t="s">
        <v>1271</v>
      </c>
      <c r="C679" s="37" t="s">
        <v>94</v>
      </c>
      <c r="D679" s="138">
        <v>12</v>
      </c>
      <c r="E679" s="138"/>
      <c r="F679" s="138"/>
      <c r="G679" s="138"/>
      <c r="H679" s="67">
        <f>+Table_1[[#This Row],[Column7]]+Table_1[[#This Row],[Column6]]+Table_1[[#This Row],[Column5]]+Table_1[[#This Row],[Column4]]</f>
        <v>12</v>
      </c>
      <c r="I679" s="38">
        <v>218300</v>
      </c>
      <c r="J679" s="34">
        <f>'PACC GENERAL 2026'!$I679*'PACC GENERAL 2026'!$H679</f>
        <v>2619600</v>
      </c>
      <c r="K679" s="40"/>
      <c r="L679" s="164"/>
      <c r="M679" s="164"/>
      <c r="N679" s="164"/>
      <c r="O679" s="32" t="s">
        <v>1301</v>
      </c>
      <c r="P679" s="323"/>
    </row>
    <row r="680" spans="1:16" s="287" customFormat="1" ht="15.5">
      <c r="A680" s="36" t="s">
        <v>25</v>
      </c>
      <c r="B680" s="36" t="s">
        <v>1272</v>
      </c>
      <c r="C680" s="37" t="s">
        <v>94</v>
      </c>
      <c r="D680" s="138">
        <v>8</v>
      </c>
      <c r="E680" s="138"/>
      <c r="F680" s="138"/>
      <c r="G680" s="138"/>
      <c r="H680" s="67">
        <f>+Table_1[[#This Row],[Column7]]+Table_1[[#This Row],[Column6]]+Table_1[[#This Row],[Column5]]+Table_1[[#This Row],[Column4]]</f>
        <v>8</v>
      </c>
      <c r="I680" s="38">
        <v>545750</v>
      </c>
      <c r="J680" s="34">
        <f>'PACC GENERAL 2026'!$I680*'PACC GENERAL 2026'!$H680</f>
        <v>4366000</v>
      </c>
      <c r="K680" s="40"/>
      <c r="L680" s="164"/>
      <c r="M680" s="164"/>
      <c r="N680" s="164"/>
      <c r="O680" s="32" t="s">
        <v>1301</v>
      </c>
      <c r="P680" s="323"/>
    </row>
    <row r="681" spans="1:16" s="287" customFormat="1" ht="15.5">
      <c r="A681" s="36" t="s">
        <v>25</v>
      </c>
      <c r="B681" s="36" t="s">
        <v>1273</v>
      </c>
      <c r="C681" s="37" t="s">
        <v>94</v>
      </c>
      <c r="D681" s="195">
        <v>40</v>
      </c>
      <c r="E681" s="195"/>
      <c r="F681" s="195"/>
      <c r="G681" s="213"/>
      <c r="H681" s="67">
        <f>+Table_1[[#This Row],[Column7]]+Table_1[[#This Row],[Column6]]+Table_1[[#This Row],[Column5]]+Table_1[[#This Row],[Column4]]</f>
        <v>40</v>
      </c>
      <c r="I681" s="38">
        <v>2500</v>
      </c>
      <c r="J681" s="34">
        <f>'PACC GENERAL 2026'!$I681*'PACC GENERAL 2026'!$H681</f>
        <v>100000</v>
      </c>
      <c r="K681" s="40"/>
      <c r="L681" s="164"/>
      <c r="M681" s="164"/>
      <c r="N681" s="164"/>
      <c r="O681" s="32" t="s">
        <v>1301</v>
      </c>
      <c r="P681" s="323"/>
    </row>
    <row r="682" spans="1:16" s="287" customFormat="1" ht="15.5">
      <c r="A682" s="36" t="s">
        <v>25</v>
      </c>
      <c r="B682" s="36" t="s">
        <v>1274</v>
      </c>
      <c r="C682" s="37" t="s">
        <v>94</v>
      </c>
      <c r="D682" s="138">
        <v>40</v>
      </c>
      <c r="E682" s="138"/>
      <c r="F682" s="138"/>
      <c r="G682" s="138"/>
      <c r="H682" s="67">
        <f>+Table_1[[#This Row],[Column7]]+Table_1[[#This Row],[Column6]]+Table_1[[#This Row],[Column5]]+Table_1[[#This Row],[Column4]]</f>
        <v>40</v>
      </c>
      <c r="I682" s="38">
        <v>1800</v>
      </c>
      <c r="J682" s="34">
        <f>'PACC GENERAL 2026'!$I682*'PACC GENERAL 2026'!$H682</f>
        <v>72000</v>
      </c>
      <c r="K682" s="40"/>
      <c r="L682" s="164"/>
      <c r="M682" s="164"/>
      <c r="N682" s="164"/>
      <c r="O682" s="32" t="s">
        <v>1301</v>
      </c>
      <c r="P682" s="323"/>
    </row>
    <row r="683" spans="1:16" s="97" customFormat="1" ht="15.5">
      <c r="A683" s="31" t="s">
        <v>25</v>
      </c>
      <c r="B683" s="31" t="s">
        <v>158</v>
      </c>
      <c r="C683" s="32" t="s">
        <v>94</v>
      </c>
      <c r="D683" s="133">
        <v>7400</v>
      </c>
      <c r="E683" s="133"/>
      <c r="F683" s="133"/>
      <c r="G683" s="133"/>
      <c r="H683" s="67">
        <f>+Table_1[[#This Row],[Column7]]+Table_1[[#This Row],[Column6]]+Table_1[[#This Row],[Column5]]+Table_1[[#This Row],[Column4]]</f>
        <v>7400</v>
      </c>
      <c r="I683" s="38">
        <v>12.48</v>
      </c>
      <c r="J683" s="34">
        <f>'PACC GENERAL 2026'!$I683*'PACC GENERAL 2026'!$H683</f>
        <v>92352</v>
      </c>
      <c r="K683" s="35"/>
      <c r="L683" s="31"/>
      <c r="M683" s="31"/>
      <c r="N683" s="31"/>
      <c r="O683" s="65" t="s">
        <v>1653</v>
      </c>
      <c r="P683" s="320"/>
    </row>
    <row r="684" spans="1:16" s="97" customFormat="1" ht="15.5">
      <c r="A684" s="31" t="s">
        <v>25</v>
      </c>
      <c r="B684" s="31" t="s">
        <v>159</v>
      </c>
      <c r="C684" s="32" t="s">
        <v>94</v>
      </c>
      <c r="D684" s="133">
        <v>7400</v>
      </c>
      <c r="E684" s="133"/>
      <c r="F684" s="133"/>
      <c r="G684" s="133"/>
      <c r="H684" s="67">
        <f>+Table_1[[#This Row],[Column7]]+Table_1[[#This Row],[Column6]]+Table_1[[#This Row],[Column5]]+Table_1[[#This Row],[Column4]]</f>
        <v>7400</v>
      </c>
      <c r="I684" s="38">
        <v>25.487999999999996</v>
      </c>
      <c r="J684" s="34">
        <f>'PACC GENERAL 2026'!$I684*'PACC GENERAL 2026'!$H684</f>
        <v>188611.19999999998</v>
      </c>
      <c r="K684" s="35"/>
      <c r="L684" s="31"/>
      <c r="M684" s="31"/>
      <c r="N684" s="31"/>
      <c r="O684" s="65" t="s">
        <v>1653</v>
      </c>
      <c r="P684" s="320"/>
    </row>
    <row r="685" spans="1:16" s="97" customFormat="1" ht="15.5">
      <c r="A685" s="31" t="s">
        <v>25</v>
      </c>
      <c r="B685" s="31" t="s">
        <v>1447</v>
      </c>
      <c r="C685" s="32" t="s">
        <v>94</v>
      </c>
      <c r="D685" s="133">
        <v>435</v>
      </c>
      <c r="E685" s="133"/>
      <c r="F685" s="133"/>
      <c r="G685" s="133"/>
      <c r="H685" s="67">
        <f>+Table_1[[#This Row],[Column7]]+Table_1[[#This Row],[Column6]]+Table_1[[#This Row],[Column5]]+Table_1[[#This Row],[Column4]]</f>
        <v>435</v>
      </c>
      <c r="I685" s="38">
        <v>170</v>
      </c>
      <c r="J685" s="34">
        <f>'PACC GENERAL 2026'!$I685*'PACC GENERAL 2026'!$H685</f>
        <v>73950</v>
      </c>
      <c r="K685" s="35"/>
      <c r="L685" s="31"/>
      <c r="M685" s="31"/>
      <c r="N685" s="31"/>
      <c r="O685" s="65" t="s">
        <v>1653</v>
      </c>
      <c r="P685" s="320"/>
    </row>
    <row r="686" spans="1:16" s="97" customFormat="1" ht="16" customHeight="1">
      <c r="A686" s="174" t="s">
        <v>25</v>
      </c>
      <c r="B686" s="174" t="s">
        <v>1262</v>
      </c>
      <c r="C686" s="179" t="s">
        <v>94</v>
      </c>
      <c r="D686" s="194">
        <v>150</v>
      </c>
      <c r="E686" s="182"/>
      <c r="F686" s="182"/>
      <c r="G686" s="194"/>
      <c r="H686" s="67">
        <f>+Table_1[[#This Row],[Column7]]+Table_1[[#This Row],[Column6]]+Table_1[[#This Row],[Column5]]+Table_1[[#This Row],[Column4]]</f>
        <v>150</v>
      </c>
      <c r="I686" s="177">
        <v>75</v>
      </c>
      <c r="J686" s="34">
        <f>'PACC GENERAL 2026'!$I686*'PACC GENERAL 2026'!$H686</f>
        <v>11250</v>
      </c>
      <c r="K686" s="186"/>
      <c r="L686" s="174"/>
      <c r="M686" s="207"/>
      <c r="N686" s="207"/>
      <c r="O686" s="32" t="s">
        <v>1301</v>
      </c>
    </row>
    <row r="687" spans="1:16" s="97" customFormat="1" ht="15.5">
      <c r="A687" s="31" t="s">
        <v>25</v>
      </c>
      <c r="B687" s="31" t="s">
        <v>1264</v>
      </c>
      <c r="C687" s="32" t="s">
        <v>94</v>
      </c>
      <c r="D687" s="137">
        <v>150</v>
      </c>
      <c r="E687" s="133"/>
      <c r="F687" s="133"/>
      <c r="G687" s="137"/>
      <c r="H687" s="67">
        <f>+Table_1[[#This Row],[Column7]]+Table_1[[#This Row],[Column6]]+Table_1[[#This Row],[Column5]]+Table_1[[#This Row],[Column4]]</f>
        <v>150</v>
      </c>
      <c r="I687" s="38">
        <v>75</v>
      </c>
      <c r="J687" s="34">
        <f>'PACC GENERAL 2026'!$I687*'PACC GENERAL 2026'!$H687</f>
        <v>11250</v>
      </c>
      <c r="K687" s="35"/>
      <c r="L687" s="31"/>
      <c r="O687" s="32" t="s">
        <v>1301</v>
      </c>
    </row>
    <row r="688" spans="1:16" s="97" customFormat="1" ht="15.5">
      <c r="A688" s="31" t="s">
        <v>25</v>
      </c>
      <c r="B688" s="31" t="s">
        <v>1265</v>
      </c>
      <c r="C688" s="32" t="s">
        <v>94</v>
      </c>
      <c r="D688" s="133">
        <v>120</v>
      </c>
      <c r="E688" s="133"/>
      <c r="F688" s="133"/>
      <c r="G688" s="133"/>
      <c r="H688" s="67">
        <f>+Table_1[[#This Row],[Column7]]+Table_1[[#This Row],[Column6]]+Table_1[[#This Row],[Column5]]+Table_1[[#This Row],[Column4]]</f>
        <v>120</v>
      </c>
      <c r="I688" s="38">
        <v>75</v>
      </c>
      <c r="J688" s="34">
        <f>'PACC GENERAL 2026'!$I688*'PACC GENERAL 2026'!$H688</f>
        <v>9000</v>
      </c>
      <c r="K688" s="35"/>
      <c r="L688" s="31"/>
      <c r="M688" s="31"/>
      <c r="N688" s="31"/>
      <c r="O688" s="32" t="s">
        <v>1301</v>
      </c>
    </row>
    <row r="689" spans="1:16" s="97" customFormat="1" ht="15.75" customHeight="1">
      <c r="A689" s="31" t="s">
        <v>25</v>
      </c>
      <c r="B689" s="31" t="s">
        <v>1263</v>
      </c>
      <c r="C689" s="32" t="s">
        <v>94</v>
      </c>
      <c r="D689" s="133">
        <v>125</v>
      </c>
      <c r="E689" s="133"/>
      <c r="F689" s="133"/>
      <c r="G689" s="133"/>
      <c r="H689" s="67">
        <f>+Table_1[[#This Row],[Column7]]+Table_1[[#This Row],[Column6]]+Table_1[[#This Row],[Column5]]+Table_1[[#This Row],[Column4]]</f>
        <v>125</v>
      </c>
      <c r="I689" s="38">
        <v>75</v>
      </c>
      <c r="J689" s="34">
        <f>'PACC GENERAL 2026'!$I689*'PACC GENERAL 2026'!$H689</f>
        <v>9375</v>
      </c>
      <c r="K689" s="35"/>
      <c r="L689" s="31"/>
      <c r="O689" s="32" t="s">
        <v>1301</v>
      </c>
    </row>
    <row r="690" spans="1:16" s="97" customFormat="1" ht="15.5">
      <c r="A690" s="31" t="s">
        <v>25</v>
      </c>
      <c r="B690" s="31" t="s">
        <v>160</v>
      </c>
      <c r="C690" s="32" t="s">
        <v>94</v>
      </c>
      <c r="D690" s="133">
        <v>3666</v>
      </c>
      <c r="E690" s="133"/>
      <c r="F690" s="133"/>
      <c r="G690" s="133"/>
      <c r="H690" s="67">
        <f>+Table_1[[#This Row],[Column7]]+Table_1[[#This Row],[Column6]]+Table_1[[#This Row],[Column5]]+Table_1[[#This Row],[Column4]]</f>
        <v>3666</v>
      </c>
      <c r="I690" s="38">
        <v>10</v>
      </c>
      <c r="J690" s="34">
        <f>'PACC GENERAL 2026'!$I690*'PACC GENERAL 2026'!$H690</f>
        <v>36660</v>
      </c>
      <c r="K690" s="35"/>
      <c r="L690" s="31"/>
      <c r="M690" s="31"/>
      <c r="N690" s="31"/>
      <c r="O690" s="65" t="s">
        <v>1653</v>
      </c>
      <c r="P690" s="320"/>
    </row>
    <row r="691" spans="1:16" s="97" customFormat="1" ht="15.5">
      <c r="A691" s="31" t="s">
        <v>25</v>
      </c>
      <c r="B691" s="31" t="s">
        <v>161</v>
      </c>
      <c r="C691" s="32" t="s">
        <v>94</v>
      </c>
      <c r="D691" s="133">
        <v>3668</v>
      </c>
      <c r="E691" s="133"/>
      <c r="F691" s="133"/>
      <c r="G691" s="133"/>
      <c r="H691" s="67">
        <f>+Table_1[[#This Row],[Column7]]+Table_1[[#This Row],[Column6]]+Table_1[[#This Row],[Column5]]+Table_1[[#This Row],[Column4]]</f>
        <v>3668</v>
      </c>
      <c r="I691" s="38">
        <v>15.5</v>
      </c>
      <c r="J691" s="34">
        <f>'PACC GENERAL 2026'!$I691*'PACC GENERAL 2026'!$H691</f>
        <v>56854</v>
      </c>
      <c r="K691" s="35"/>
      <c r="L691" s="31"/>
      <c r="M691" s="31"/>
      <c r="N691" s="31"/>
      <c r="O691" s="65" t="s">
        <v>1653</v>
      </c>
      <c r="P691" s="320"/>
    </row>
    <row r="692" spans="1:16" s="97" customFormat="1" ht="15.5">
      <c r="A692" s="31" t="s">
        <v>25</v>
      </c>
      <c r="B692" s="31" t="s">
        <v>162</v>
      </c>
      <c r="C692" s="32" t="s">
        <v>94</v>
      </c>
      <c r="D692" s="133">
        <v>7400</v>
      </c>
      <c r="E692" s="133"/>
      <c r="F692" s="133"/>
      <c r="G692" s="133"/>
      <c r="H692" s="67">
        <f>+Table_1[[#This Row],[Column7]]+Table_1[[#This Row],[Column6]]+Table_1[[#This Row],[Column5]]+Table_1[[#This Row],[Column4]]</f>
        <v>7400</v>
      </c>
      <c r="I692" s="38">
        <v>25</v>
      </c>
      <c r="J692" s="34">
        <f>'PACC GENERAL 2026'!$I692*'PACC GENERAL 2026'!$H692</f>
        <v>185000</v>
      </c>
      <c r="K692" s="35"/>
      <c r="L692" s="31"/>
      <c r="M692" s="31"/>
      <c r="N692" s="31"/>
      <c r="O692" s="65" t="s">
        <v>1653</v>
      </c>
      <c r="P692" s="320"/>
    </row>
    <row r="693" spans="1:16" s="287" customFormat="1" ht="15.5">
      <c r="A693" s="36" t="s">
        <v>25</v>
      </c>
      <c r="B693" s="36" t="s">
        <v>1275</v>
      </c>
      <c r="C693" s="37" t="s">
        <v>94</v>
      </c>
      <c r="D693" s="138">
        <v>250</v>
      </c>
      <c r="E693" s="138"/>
      <c r="F693" s="138"/>
      <c r="G693" s="138"/>
      <c r="H693" s="67">
        <f>+Table_1[[#This Row],[Column7]]+Table_1[[#This Row],[Column6]]+Table_1[[#This Row],[Column5]]+Table_1[[#This Row],[Column4]]</f>
        <v>250</v>
      </c>
      <c r="I693" s="38">
        <v>83</v>
      </c>
      <c r="J693" s="34">
        <f>'PACC GENERAL 2026'!$I693*'PACC GENERAL 2026'!$H693</f>
        <v>20750</v>
      </c>
      <c r="K693" s="40"/>
      <c r="L693" s="31"/>
      <c r="M693" s="31"/>
      <c r="N693" s="31"/>
      <c r="O693" s="32" t="s">
        <v>1301</v>
      </c>
      <c r="P693" s="323"/>
    </row>
    <row r="694" spans="1:16" s="287" customFormat="1" ht="15.5">
      <c r="A694" s="36" t="s">
        <v>25</v>
      </c>
      <c r="B694" s="36" t="s">
        <v>1275</v>
      </c>
      <c r="C694" s="37" t="s">
        <v>94</v>
      </c>
      <c r="D694" s="138">
        <v>50</v>
      </c>
      <c r="E694" s="138"/>
      <c r="F694" s="138"/>
      <c r="G694" s="138"/>
      <c r="H694" s="67">
        <f>+Table_1[[#This Row],[Column7]]+Table_1[[#This Row],[Column6]]+Table_1[[#This Row],[Column5]]+Table_1[[#This Row],[Column4]]</f>
        <v>50</v>
      </c>
      <c r="I694" s="38">
        <v>83</v>
      </c>
      <c r="J694" s="34">
        <f>'PACC GENERAL 2026'!$I694*'PACC GENERAL 2026'!$H694</f>
        <v>4150</v>
      </c>
      <c r="K694" s="40"/>
      <c r="L694" s="31"/>
      <c r="M694" s="31"/>
      <c r="N694" s="31"/>
      <c r="O694" s="32" t="s">
        <v>1301</v>
      </c>
      <c r="P694" s="323"/>
    </row>
    <row r="695" spans="1:16" s="287" customFormat="1" ht="15.5">
      <c r="A695" s="175" t="s">
        <v>25</v>
      </c>
      <c r="B695" s="175" t="s">
        <v>1276</v>
      </c>
      <c r="C695" s="187" t="s">
        <v>94</v>
      </c>
      <c r="D695" s="195">
        <v>10</v>
      </c>
      <c r="E695" s="195"/>
      <c r="F695" s="195"/>
      <c r="G695" s="195"/>
      <c r="H695" s="67">
        <f>+Table_1[[#This Row],[Column7]]+Table_1[[#This Row],[Column6]]+Table_1[[#This Row],[Column5]]+Table_1[[#This Row],[Column4]]</f>
        <v>10</v>
      </c>
      <c r="I695" s="177">
        <v>3000</v>
      </c>
      <c r="J695" s="34">
        <f>'PACC GENERAL 2026'!$I695*'PACC GENERAL 2026'!$H695</f>
        <v>30000</v>
      </c>
      <c r="K695" s="204"/>
      <c r="L695" s="174"/>
      <c r="M695" s="174"/>
      <c r="N695" s="174"/>
      <c r="O695" s="32" t="s">
        <v>1301</v>
      </c>
      <c r="P695" s="323"/>
    </row>
    <row r="696" spans="1:16" s="287" customFormat="1" ht="15.5">
      <c r="A696" s="36" t="s">
        <v>25</v>
      </c>
      <c r="B696" s="36" t="s">
        <v>1277</v>
      </c>
      <c r="C696" s="37" t="s">
        <v>94</v>
      </c>
      <c r="D696" s="138">
        <v>100</v>
      </c>
      <c r="E696" s="138"/>
      <c r="F696" s="138"/>
      <c r="G696" s="138"/>
      <c r="H696" s="67">
        <f>+Table_1[[#This Row],[Column7]]+Table_1[[#This Row],[Column6]]+Table_1[[#This Row],[Column5]]+Table_1[[#This Row],[Column4]]</f>
        <v>100</v>
      </c>
      <c r="I696" s="38">
        <v>80.5</v>
      </c>
      <c r="J696" s="34">
        <f>'PACC GENERAL 2026'!$I696*'PACC GENERAL 2026'!$H696</f>
        <v>8050</v>
      </c>
      <c r="K696" s="40"/>
      <c r="L696" s="31"/>
      <c r="M696" s="31"/>
      <c r="N696" s="31"/>
      <c r="O696" s="32" t="s">
        <v>1301</v>
      </c>
      <c r="P696" s="323"/>
    </row>
    <row r="697" spans="1:16" s="97" customFormat="1" ht="15.5">
      <c r="A697" s="31" t="s">
        <v>25</v>
      </c>
      <c r="B697" s="31" t="s">
        <v>176</v>
      </c>
      <c r="C697" s="32" t="s">
        <v>94</v>
      </c>
      <c r="D697" s="133">
        <v>925</v>
      </c>
      <c r="E697" s="133"/>
      <c r="F697" s="133"/>
      <c r="G697" s="133"/>
      <c r="H697" s="67">
        <f>+Table_1[[#This Row],[Column7]]+Table_1[[#This Row],[Column6]]+Table_1[[#This Row],[Column5]]+Table_1[[#This Row],[Column4]]</f>
        <v>925</v>
      </c>
      <c r="I697" s="38">
        <v>15</v>
      </c>
      <c r="J697" s="34">
        <f>'PACC GENERAL 2026'!$I697*'PACC GENERAL 2026'!$H697</f>
        <v>13875</v>
      </c>
      <c r="K697" s="35"/>
      <c r="L697" s="31"/>
      <c r="M697" s="31"/>
      <c r="N697" s="31"/>
      <c r="O697" s="65" t="s">
        <v>1653</v>
      </c>
      <c r="P697" s="320"/>
    </row>
    <row r="698" spans="1:16" s="97" customFormat="1" ht="15.5">
      <c r="A698" s="31" t="s">
        <v>25</v>
      </c>
      <c r="B698" s="31" t="s">
        <v>177</v>
      </c>
      <c r="C698" s="32" t="s">
        <v>94</v>
      </c>
      <c r="D698" s="133">
        <v>925</v>
      </c>
      <c r="E698" s="133"/>
      <c r="F698" s="133"/>
      <c r="G698" s="133"/>
      <c r="H698" s="67">
        <f>+Table_1[[#This Row],[Column7]]+Table_1[[#This Row],[Column6]]+Table_1[[#This Row],[Column5]]+Table_1[[#This Row],[Column4]]</f>
        <v>925</v>
      </c>
      <c r="I698" s="38">
        <v>20</v>
      </c>
      <c r="J698" s="34">
        <f>'PACC GENERAL 2026'!$I698*'PACC GENERAL 2026'!$H698</f>
        <v>18500</v>
      </c>
      <c r="K698" s="35"/>
      <c r="L698" s="31"/>
      <c r="M698" s="31"/>
      <c r="N698" s="31"/>
      <c r="O698" s="65" t="s">
        <v>1653</v>
      </c>
      <c r="P698" s="320"/>
    </row>
    <row r="699" spans="1:16" s="97" customFormat="1" ht="15.5">
      <c r="A699" s="31" t="s">
        <v>25</v>
      </c>
      <c r="B699" s="31" t="s">
        <v>178</v>
      </c>
      <c r="C699" s="32" t="s">
        <v>94</v>
      </c>
      <c r="D699" s="133">
        <v>555</v>
      </c>
      <c r="E699" s="133"/>
      <c r="F699" s="133"/>
      <c r="G699" s="133"/>
      <c r="H699" s="67">
        <f>+Table_1[[#This Row],[Column7]]+Table_1[[#This Row],[Column6]]+Table_1[[#This Row],[Column5]]+Table_1[[#This Row],[Column4]]</f>
        <v>555</v>
      </c>
      <c r="I699" s="38">
        <v>30</v>
      </c>
      <c r="J699" s="34">
        <f>'PACC GENERAL 2026'!$I699*'PACC GENERAL 2026'!$H699</f>
        <v>16650</v>
      </c>
      <c r="K699" s="35"/>
      <c r="L699" s="31"/>
      <c r="M699" s="31"/>
      <c r="N699" s="31"/>
      <c r="O699" s="65" t="s">
        <v>1653</v>
      </c>
      <c r="P699" s="320"/>
    </row>
    <row r="700" spans="1:16" s="97" customFormat="1" ht="15.5">
      <c r="A700" s="31" t="s">
        <v>25</v>
      </c>
      <c r="B700" s="31" t="s">
        <v>790</v>
      </c>
      <c r="C700" s="32" t="s">
        <v>94</v>
      </c>
      <c r="D700" s="133"/>
      <c r="E700" s="133"/>
      <c r="F700" s="133"/>
      <c r="G700" s="133"/>
      <c r="H700" s="67">
        <f>D700+E700+F700+G700</f>
        <v>0</v>
      </c>
      <c r="I700" s="38">
        <v>6000</v>
      </c>
      <c r="J700" s="34">
        <f>I700*H700</f>
        <v>0</v>
      </c>
      <c r="K700" s="35"/>
      <c r="L700" s="31"/>
      <c r="M700" s="31"/>
      <c r="N700" s="31"/>
      <c r="O700" s="32" t="s">
        <v>975</v>
      </c>
      <c r="P700" s="320"/>
    </row>
    <row r="701" spans="1:16" s="97" customFormat="1" ht="15.5">
      <c r="A701" s="31" t="s">
        <v>25</v>
      </c>
      <c r="B701" s="31" t="s">
        <v>1293</v>
      </c>
      <c r="C701" s="32" t="s">
        <v>94</v>
      </c>
      <c r="D701" s="400">
        <v>150</v>
      </c>
      <c r="E701" s="133"/>
      <c r="F701" s="133"/>
      <c r="G701" s="133"/>
      <c r="H701" s="67">
        <f>+Table_1[[#This Row],[Column7]]+Table_1[[#This Row],[Column6]]+Table_1[[#This Row],[Column5]]+Table_1[[#This Row],[Column4]]</f>
        <v>150</v>
      </c>
      <c r="I701" s="38">
        <v>225</v>
      </c>
      <c r="J701" s="34">
        <f>'PACC GENERAL 2026'!$I701*'PACC GENERAL 2026'!$H701</f>
        <v>33750</v>
      </c>
      <c r="K701" s="35"/>
      <c r="L701" s="31"/>
      <c r="M701" s="31"/>
      <c r="N701" s="31"/>
      <c r="O701" s="32" t="s">
        <v>1301</v>
      </c>
      <c r="P701" s="320"/>
    </row>
    <row r="702" spans="1:16" s="97" customFormat="1" ht="15.75" customHeight="1">
      <c r="A702" s="31" t="s">
        <v>25</v>
      </c>
      <c r="B702" s="31" t="s">
        <v>1294</v>
      </c>
      <c r="C702" s="32" t="s">
        <v>94</v>
      </c>
      <c r="D702" s="137">
        <v>150</v>
      </c>
      <c r="E702" s="133"/>
      <c r="F702" s="133"/>
      <c r="G702" s="137"/>
      <c r="H702" s="67">
        <f>+Table_1[[#This Row],[Column7]]+Table_1[[#This Row],[Column6]]+Table_1[[#This Row],[Column5]]+Table_1[[#This Row],[Column4]]</f>
        <v>150</v>
      </c>
      <c r="I702" s="38">
        <v>175</v>
      </c>
      <c r="J702" s="34">
        <f>'PACC GENERAL 2026'!$I702*'PACC GENERAL 2026'!$H702</f>
        <v>26250</v>
      </c>
      <c r="K702" s="35"/>
      <c r="L702" s="31"/>
      <c r="O702" s="32" t="s">
        <v>1301</v>
      </c>
    </row>
    <row r="703" spans="1:16" s="97" customFormat="1" ht="15.5">
      <c r="A703" s="31" t="s">
        <v>25</v>
      </c>
      <c r="B703" s="31" t="s">
        <v>977</v>
      </c>
      <c r="C703" s="32" t="s">
        <v>94</v>
      </c>
      <c r="D703" s="133">
        <v>1</v>
      </c>
      <c r="E703" s="137"/>
      <c r="F703" s="133"/>
      <c r="G703" s="133"/>
      <c r="H703" s="67">
        <f>+Table_1[[#This Row],[Column7]]+Table_1[[#This Row],[Column6]]+Table_1[[#This Row],[Column5]]+Table_1[[#This Row],[Column4]]</f>
        <v>1</v>
      </c>
      <c r="I703" s="38">
        <v>234</v>
      </c>
      <c r="J703" s="34">
        <f>I703*H703</f>
        <v>234</v>
      </c>
      <c r="K703" s="35"/>
      <c r="L703" s="31"/>
      <c r="M703" s="31"/>
      <c r="N703" s="31"/>
      <c r="O703" s="32" t="s">
        <v>975</v>
      </c>
      <c r="P703" s="320"/>
    </row>
    <row r="704" spans="1:16" s="97" customFormat="1" ht="15.5">
      <c r="A704" s="31" t="s">
        <v>25</v>
      </c>
      <c r="B704" s="31" t="s">
        <v>976</v>
      </c>
      <c r="C704" s="32" t="s">
        <v>94</v>
      </c>
      <c r="D704" s="133">
        <v>1</v>
      </c>
      <c r="E704" s="137"/>
      <c r="F704" s="133"/>
      <c r="G704" s="133"/>
      <c r="H704" s="67">
        <f>+Table_1[[#This Row],[Column7]]+Table_1[[#This Row],[Column6]]+Table_1[[#This Row],[Column5]]+Table_1[[#This Row],[Column4]]</f>
        <v>1</v>
      </c>
      <c r="I704" s="38">
        <v>3275</v>
      </c>
      <c r="J704" s="34">
        <f t="shared" ref="J704:J733" si="19">I704*H704</f>
        <v>3275</v>
      </c>
      <c r="K704" s="35"/>
      <c r="L704" s="31"/>
      <c r="M704" s="31"/>
      <c r="N704" s="31"/>
      <c r="O704" s="32" t="s">
        <v>975</v>
      </c>
      <c r="P704" s="320"/>
    </row>
    <row r="705" spans="1:16" s="97" customFormat="1" ht="15.5">
      <c r="A705" s="31" t="s">
        <v>25</v>
      </c>
      <c r="B705" s="31" t="s">
        <v>978</v>
      </c>
      <c r="C705" s="32" t="s">
        <v>94</v>
      </c>
      <c r="D705" s="133">
        <v>1</v>
      </c>
      <c r="E705" s="137"/>
      <c r="F705" s="133"/>
      <c r="G705" s="133"/>
      <c r="H705" s="67">
        <f>+Table_1[[#This Row],[Column7]]+Table_1[[#This Row],[Column6]]+Table_1[[#This Row],[Column5]]+Table_1[[#This Row],[Column4]]</f>
        <v>1</v>
      </c>
      <c r="I705" s="38">
        <v>10227</v>
      </c>
      <c r="J705" s="34">
        <f t="shared" si="19"/>
        <v>10227</v>
      </c>
      <c r="K705" s="35"/>
      <c r="L705" s="31"/>
      <c r="M705" s="31"/>
      <c r="N705" s="31"/>
      <c r="O705" s="32" t="s">
        <v>975</v>
      </c>
      <c r="P705" s="320"/>
    </row>
    <row r="706" spans="1:16" s="97" customFormat="1" ht="15.5">
      <c r="A706" s="31" t="s">
        <v>25</v>
      </c>
      <c r="B706" s="31" t="s">
        <v>179</v>
      </c>
      <c r="C706" s="32" t="s">
        <v>94</v>
      </c>
      <c r="D706" s="133">
        <v>4</v>
      </c>
      <c r="E706" s="133"/>
      <c r="F706" s="133"/>
      <c r="G706" s="133"/>
      <c r="H706" s="67">
        <f>+Table_1[[#This Row],[Column7]]+Table_1[[#This Row],[Column6]]+Table_1[[#This Row],[Column5]]+Table_1[[#This Row],[Column4]]</f>
        <v>4</v>
      </c>
      <c r="I706" s="38">
        <v>2242</v>
      </c>
      <c r="J706" s="34">
        <f>'PACC GENERAL 2026'!$I706*'PACC GENERAL 2026'!$H706</f>
        <v>8968</v>
      </c>
      <c r="K706" s="35"/>
      <c r="L706" s="31"/>
      <c r="M706" s="31"/>
      <c r="N706" s="31"/>
      <c r="O706" s="65" t="s">
        <v>1653</v>
      </c>
      <c r="P706" s="320"/>
    </row>
    <row r="707" spans="1:16" s="97" customFormat="1" ht="15.5">
      <c r="A707" s="31" t="s">
        <v>25</v>
      </c>
      <c r="B707" s="31" t="s">
        <v>180</v>
      </c>
      <c r="C707" s="32" t="s">
        <v>94</v>
      </c>
      <c r="D707" s="133">
        <v>4</v>
      </c>
      <c r="E707" s="133"/>
      <c r="F707" s="133"/>
      <c r="G707" s="133"/>
      <c r="H707" s="67">
        <f>+Table_1[[#This Row],[Column7]]+Table_1[[#This Row],[Column6]]+Table_1[[#This Row],[Column5]]+Table_1[[#This Row],[Column4]]</f>
        <v>4</v>
      </c>
      <c r="I707" s="38">
        <v>174</v>
      </c>
      <c r="J707" s="34">
        <f>'PACC GENERAL 2026'!$I707*'PACC GENERAL 2026'!$H707</f>
        <v>696</v>
      </c>
      <c r="K707" s="35"/>
      <c r="L707" s="31"/>
      <c r="M707" s="31"/>
      <c r="N707" s="31"/>
      <c r="O707" s="65" t="s">
        <v>1653</v>
      </c>
      <c r="P707" s="320"/>
    </row>
    <row r="708" spans="1:16" s="97" customFormat="1" ht="15.5">
      <c r="A708" s="31" t="s">
        <v>25</v>
      </c>
      <c r="B708" s="31" t="s">
        <v>181</v>
      </c>
      <c r="C708" s="32" t="s">
        <v>94</v>
      </c>
      <c r="D708" s="133">
        <v>4</v>
      </c>
      <c r="E708" s="133"/>
      <c r="F708" s="133"/>
      <c r="G708" s="133"/>
      <c r="H708" s="67">
        <f>+Table_1[[#This Row],[Column7]]+Table_1[[#This Row],[Column6]]+Table_1[[#This Row],[Column5]]+Table_1[[#This Row],[Column4]]</f>
        <v>4</v>
      </c>
      <c r="I708" s="38">
        <v>5191.9999999999991</v>
      </c>
      <c r="J708" s="34">
        <f>'PACC GENERAL 2026'!$I708*'PACC GENERAL 2026'!$H708</f>
        <v>20767.999999999996</v>
      </c>
      <c r="K708" s="35"/>
      <c r="L708" s="31"/>
      <c r="M708" s="31"/>
      <c r="N708" s="31"/>
      <c r="O708" s="65" t="s">
        <v>1653</v>
      </c>
      <c r="P708" s="320"/>
    </row>
    <row r="709" spans="1:16" s="97" customFormat="1" ht="15.5">
      <c r="A709" s="31" t="s">
        <v>25</v>
      </c>
      <c r="B709" s="31" t="s">
        <v>182</v>
      </c>
      <c r="C709" s="32" t="s">
        <v>94</v>
      </c>
      <c r="D709" s="133">
        <v>2</v>
      </c>
      <c r="E709" s="133"/>
      <c r="F709" s="133"/>
      <c r="G709" s="133"/>
      <c r="H709" s="67">
        <f>+Table_1[[#This Row],[Column7]]+Table_1[[#This Row],[Column6]]+Table_1[[#This Row],[Column5]]+Table_1[[#This Row],[Column4]]</f>
        <v>2</v>
      </c>
      <c r="I709" s="38">
        <v>2500</v>
      </c>
      <c r="J709" s="34">
        <f>'PACC GENERAL 2026'!$I709*'PACC GENERAL 2026'!$H709</f>
        <v>5000</v>
      </c>
      <c r="K709" s="35"/>
      <c r="L709" s="31"/>
      <c r="M709" s="31"/>
      <c r="N709" s="31"/>
      <c r="O709" s="65" t="s">
        <v>1653</v>
      </c>
      <c r="P709" s="320"/>
    </row>
    <row r="710" spans="1:16" s="97" customFormat="1" ht="15.5">
      <c r="A710" s="31" t="s">
        <v>25</v>
      </c>
      <c r="B710" s="31" t="s">
        <v>183</v>
      </c>
      <c r="C710" s="32" t="s">
        <v>94</v>
      </c>
      <c r="D710" s="133">
        <v>7</v>
      </c>
      <c r="E710" s="133"/>
      <c r="F710" s="133"/>
      <c r="G710" s="133"/>
      <c r="H710" s="67">
        <f>+Table_1[[#This Row],[Column7]]+Table_1[[#This Row],[Column6]]+Table_1[[#This Row],[Column5]]+Table_1[[#This Row],[Column4]]</f>
        <v>7</v>
      </c>
      <c r="I710" s="38">
        <v>200</v>
      </c>
      <c r="J710" s="34">
        <f>'PACC GENERAL 2026'!$I710*'PACC GENERAL 2026'!$H710</f>
        <v>1400</v>
      </c>
      <c r="K710" s="35"/>
      <c r="L710" s="31"/>
      <c r="M710" s="31"/>
      <c r="N710" s="31"/>
      <c r="O710" s="65" t="s">
        <v>1653</v>
      </c>
      <c r="P710" s="320"/>
    </row>
    <row r="711" spans="1:16" s="97" customFormat="1" ht="15.5">
      <c r="A711" s="31" t="s">
        <v>25</v>
      </c>
      <c r="B711" s="31" t="s">
        <v>185</v>
      </c>
      <c r="C711" s="32" t="s">
        <v>94</v>
      </c>
      <c r="D711" s="133">
        <v>2</v>
      </c>
      <c r="E711" s="133"/>
      <c r="F711" s="133"/>
      <c r="G711" s="133"/>
      <c r="H711" s="67">
        <f>+Table_1[[#This Row],[Column7]]+Table_1[[#This Row],[Column6]]+Table_1[[#This Row],[Column5]]+Table_1[[#This Row],[Column4]]</f>
        <v>2</v>
      </c>
      <c r="I711" s="38">
        <v>6300</v>
      </c>
      <c r="J711" s="34">
        <f>'PACC GENERAL 2026'!$I711*'PACC GENERAL 2026'!$H711</f>
        <v>12600</v>
      </c>
      <c r="K711" s="35"/>
      <c r="L711" s="31"/>
      <c r="M711" s="31"/>
      <c r="N711" s="31"/>
      <c r="O711" s="65" t="s">
        <v>1653</v>
      </c>
      <c r="P711" s="320"/>
    </row>
    <row r="712" spans="1:16" s="97" customFormat="1" ht="15.5">
      <c r="A712" s="31" t="s">
        <v>25</v>
      </c>
      <c r="B712" s="31" t="s">
        <v>163</v>
      </c>
      <c r="C712" s="32" t="s">
        <v>94</v>
      </c>
      <c r="D712" s="133">
        <v>120</v>
      </c>
      <c r="E712" s="133"/>
      <c r="F712" s="133"/>
      <c r="G712" s="133"/>
      <c r="H712" s="67">
        <f t="shared" ref="H712:H733" si="20">D712+E712+F712+G712</f>
        <v>120</v>
      </c>
      <c r="I712" s="38">
        <v>8</v>
      </c>
      <c r="J712" s="34">
        <f t="shared" si="19"/>
        <v>960</v>
      </c>
      <c r="K712" s="35"/>
      <c r="L712" s="31"/>
      <c r="M712" s="31"/>
      <c r="N712" s="31"/>
      <c r="O712" s="32" t="s">
        <v>975</v>
      </c>
      <c r="P712" s="320"/>
    </row>
    <row r="713" spans="1:16" s="97" customFormat="1" ht="15.5">
      <c r="A713" s="31" t="s">
        <v>25</v>
      </c>
      <c r="B713" s="31" t="s">
        <v>163</v>
      </c>
      <c r="C713" s="32" t="s">
        <v>94</v>
      </c>
      <c r="D713" s="133">
        <v>250</v>
      </c>
      <c r="E713" s="133"/>
      <c r="F713" s="133"/>
      <c r="G713" s="133"/>
      <c r="H713" s="67">
        <f>+Table_1[[#This Row],[Column7]]+Table_1[[#This Row],[Column6]]+Table_1[[#This Row],[Column5]]+Table_1[[#This Row],[Column4]]</f>
        <v>250</v>
      </c>
      <c r="I713" s="38">
        <v>8</v>
      </c>
      <c r="J713" s="34">
        <f>'PACC GENERAL 2026'!$I713*'PACC GENERAL 2026'!$H713</f>
        <v>2000</v>
      </c>
      <c r="K713" s="35"/>
      <c r="L713" s="31"/>
      <c r="M713" s="31"/>
      <c r="N713" s="31"/>
      <c r="O713" s="65" t="s">
        <v>1653</v>
      </c>
      <c r="P713" s="320"/>
    </row>
    <row r="714" spans="1:16" s="97" customFormat="1" ht="15.5">
      <c r="A714" s="31" t="s">
        <v>25</v>
      </c>
      <c r="B714" s="31" t="s">
        <v>164</v>
      </c>
      <c r="C714" s="32" t="s">
        <v>94</v>
      </c>
      <c r="D714" s="133">
        <v>111</v>
      </c>
      <c r="E714" s="133"/>
      <c r="F714" s="133"/>
      <c r="G714" s="133"/>
      <c r="H714" s="67">
        <f>+Table_1[[#This Row],[Column7]]+Table_1[[#This Row],[Column6]]+Table_1[[#This Row],[Column5]]+Table_1[[#This Row],[Column4]]</f>
        <v>111</v>
      </c>
      <c r="I714" s="38">
        <v>14</v>
      </c>
      <c r="J714" s="34">
        <f>'PACC GENERAL 2026'!$I714*'PACC GENERAL 2026'!$H714</f>
        <v>1554</v>
      </c>
      <c r="K714" s="35"/>
      <c r="L714" s="31"/>
      <c r="M714" s="31"/>
      <c r="N714" s="31"/>
      <c r="O714" s="65" t="s">
        <v>1653</v>
      </c>
      <c r="P714" s="320"/>
    </row>
    <row r="715" spans="1:16" s="97" customFormat="1" ht="15.5">
      <c r="A715" s="31" t="s">
        <v>25</v>
      </c>
      <c r="B715" s="31" t="s">
        <v>165</v>
      </c>
      <c r="C715" s="32" t="s">
        <v>94</v>
      </c>
      <c r="D715" s="133">
        <v>111</v>
      </c>
      <c r="E715" s="133"/>
      <c r="F715" s="133"/>
      <c r="G715" s="133"/>
      <c r="H715" s="67">
        <f>+Table_1[[#This Row],[Column7]]+Table_1[[#This Row],[Column6]]+Table_1[[#This Row],[Column5]]+Table_1[[#This Row],[Column4]]</f>
        <v>111</v>
      </c>
      <c r="I715" s="38">
        <v>95</v>
      </c>
      <c r="J715" s="34">
        <f>'PACC GENERAL 2026'!$I715*'PACC GENERAL 2026'!$H715</f>
        <v>10545</v>
      </c>
      <c r="K715" s="35"/>
      <c r="L715" s="31"/>
      <c r="M715" s="31"/>
      <c r="N715" s="31"/>
      <c r="O715" s="65" t="s">
        <v>1653</v>
      </c>
      <c r="P715" s="320"/>
    </row>
    <row r="716" spans="1:16" s="97" customFormat="1" ht="15.5">
      <c r="A716" s="31" t="s">
        <v>25</v>
      </c>
      <c r="B716" s="31" t="s">
        <v>166</v>
      </c>
      <c r="C716" s="32" t="s">
        <v>94</v>
      </c>
      <c r="D716" s="133">
        <v>111</v>
      </c>
      <c r="E716" s="133"/>
      <c r="F716" s="133"/>
      <c r="G716" s="133"/>
      <c r="H716" s="67">
        <f>+Table_1[[#This Row],[Column7]]+Table_1[[#This Row],[Column6]]+Table_1[[#This Row],[Column5]]+Table_1[[#This Row],[Column4]]</f>
        <v>111</v>
      </c>
      <c r="I716" s="38">
        <v>81</v>
      </c>
      <c r="J716" s="34">
        <f>'PACC GENERAL 2026'!$I716*'PACC GENERAL 2026'!$H716</f>
        <v>8991</v>
      </c>
      <c r="K716" s="35"/>
      <c r="L716" s="31"/>
      <c r="M716" s="31"/>
      <c r="N716" s="31"/>
      <c r="O716" s="65" t="s">
        <v>1653</v>
      </c>
      <c r="P716" s="320"/>
    </row>
    <row r="717" spans="1:16" s="97" customFormat="1" ht="15.5">
      <c r="A717" s="31" t="s">
        <v>25</v>
      </c>
      <c r="B717" s="31" t="s">
        <v>167</v>
      </c>
      <c r="C717" s="32" t="s">
        <v>94</v>
      </c>
      <c r="D717" s="133">
        <v>3280</v>
      </c>
      <c r="E717" s="133"/>
      <c r="F717" s="133"/>
      <c r="G717" s="133"/>
      <c r="H717" s="67">
        <f>+Table_1[[#This Row],[Column7]]+Table_1[[#This Row],[Column6]]+Table_1[[#This Row],[Column5]]+Table_1[[#This Row],[Column4]]</f>
        <v>3280</v>
      </c>
      <c r="I717" s="38">
        <v>6</v>
      </c>
      <c r="J717" s="34">
        <f>'PACC GENERAL 2026'!$I717*'PACC GENERAL 2026'!$H717</f>
        <v>19680</v>
      </c>
      <c r="K717" s="35"/>
      <c r="L717" s="31"/>
      <c r="M717" s="31"/>
      <c r="N717" s="31"/>
      <c r="O717" s="65" t="s">
        <v>1653</v>
      </c>
      <c r="P717" s="320"/>
    </row>
    <row r="718" spans="1:16" s="97" customFormat="1" ht="15.5">
      <c r="A718" s="31" t="s">
        <v>25</v>
      </c>
      <c r="B718" s="31" t="s">
        <v>168</v>
      </c>
      <c r="C718" s="32" t="s">
        <v>94</v>
      </c>
      <c r="D718" s="133">
        <v>3280</v>
      </c>
      <c r="E718" s="133"/>
      <c r="F718" s="133"/>
      <c r="G718" s="133"/>
      <c r="H718" s="67">
        <f>+Table_1[[#This Row],[Column7]]+Table_1[[#This Row],[Column6]]+Table_1[[#This Row],[Column5]]+Table_1[[#This Row],[Column4]]</f>
        <v>3280</v>
      </c>
      <c r="I718" s="38">
        <v>11</v>
      </c>
      <c r="J718" s="34">
        <f>'PACC GENERAL 2026'!$I718*'PACC GENERAL 2026'!$H718</f>
        <v>36080</v>
      </c>
      <c r="K718" s="35"/>
      <c r="L718" s="31"/>
      <c r="M718" s="31"/>
      <c r="N718" s="31"/>
      <c r="O718" s="65" t="s">
        <v>1653</v>
      </c>
      <c r="P718" s="320"/>
    </row>
    <row r="719" spans="1:16" s="97" customFormat="1" ht="15.5">
      <c r="A719" s="31" t="s">
        <v>25</v>
      </c>
      <c r="B719" s="31" t="s">
        <v>169</v>
      </c>
      <c r="C719" s="32" t="s">
        <v>94</v>
      </c>
      <c r="D719" s="133">
        <v>1665</v>
      </c>
      <c r="E719" s="133"/>
      <c r="F719" s="133"/>
      <c r="G719" s="133"/>
      <c r="H719" s="67">
        <f>+Table_1[[#This Row],[Column7]]+Table_1[[#This Row],[Column6]]+Table_1[[#This Row],[Column5]]+Table_1[[#This Row],[Column4]]</f>
        <v>1665</v>
      </c>
      <c r="I719" s="38">
        <v>13.31</v>
      </c>
      <c r="J719" s="34">
        <f>'PACC GENERAL 2026'!$I719*'PACC GENERAL 2026'!$H719</f>
        <v>22161.15</v>
      </c>
      <c r="K719" s="35"/>
      <c r="L719" s="31"/>
      <c r="M719" s="31"/>
      <c r="N719" s="31"/>
      <c r="O719" s="65" t="s">
        <v>1653</v>
      </c>
      <c r="P719" s="320"/>
    </row>
    <row r="720" spans="1:16" s="97" customFormat="1" ht="15.5">
      <c r="A720" s="31" t="s">
        <v>25</v>
      </c>
      <c r="B720" s="31" t="s">
        <v>170</v>
      </c>
      <c r="C720" s="32" t="s">
        <v>94</v>
      </c>
      <c r="D720" s="133">
        <v>1665</v>
      </c>
      <c r="E720" s="133"/>
      <c r="F720" s="133"/>
      <c r="G720" s="133"/>
      <c r="H720" s="67">
        <f>+Table_1[[#This Row],[Column7]]+Table_1[[#This Row],[Column6]]+Table_1[[#This Row],[Column5]]+Table_1[[#This Row],[Column4]]</f>
        <v>1665</v>
      </c>
      <c r="I720" s="38">
        <v>16.100000000000001</v>
      </c>
      <c r="J720" s="34">
        <f>'PACC GENERAL 2026'!$I720*'PACC GENERAL 2026'!$H720</f>
        <v>26806.500000000004</v>
      </c>
      <c r="K720" s="35"/>
      <c r="L720" s="31"/>
      <c r="M720" s="31"/>
      <c r="N720" s="31"/>
      <c r="O720" s="65" t="s">
        <v>1653</v>
      </c>
      <c r="P720" s="320"/>
    </row>
    <row r="721" spans="1:16" s="97" customFormat="1" ht="15.5">
      <c r="A721" s="31" t="s">
        <v>25</v>
      </c>
      <c r="B721" s="31" t="s">
        <v>171</v>
      </c>
      <c r="C721" s="32" t="s">
        <v>94</v>
      </c>
      <c r="D721" s="133">
        <v>925</v>
      </c>
      <c r="E721" s="133"/>
      <c r="F721" s="133"/>
      <c r="G721" s="133"/>
      <c r="H721" s="67">
        <f>+Table_1[[#This Row],[Column7]]+Table_1[[#This Row],[Column6]]+Table_1[[#This Row],[Column5]]+Table_1[[#This Row],[Column4]]</f>
        <v>925</v>
      </c>
      <c r="I721" s="38">
        <v>29.35</v>
      </c>
      <c r="J721" s="34">
        <f>'PACC GENERAL 2026'!$I721*'PACC GENERAL 2026'!$H721</f>
        <v>27148.75</v>
      </c>
      <c r="K721" s="35"/>
      <c r="L721" s="31"/>
      <c r="M721" s="31"/>
      <c r="N721" s="31"/>
      <c r="O721" s="65" t="s">
        <v>1653</v>
      </c>
      <c r="P721" s="320"/>
    </row>
    <row r="722" spans="1:16" s="97" customFormat="1" ht="15.5">
      <c r="A722" s="31" t="s">
        <v>25</v>
      </c>
      <c r="B722" s="31" t="s">
        <v>172</v>
      </c>
      <c r="C722" s="32" t="s">
        <v>94</v>
      </c>
      <c r="D722" s="133">
        <v>925</v>
      </c>
      <c r="E722" s="133"/>
      <c r="F722" s="133"/>
      <c r="G722" s="133"/>
      <c r="H722" s="67">
        <f>+Table_1[[#This Row],[Column7]]+Table_1[[#This Row],[Column6]]+Table_1[[#This Row],[Column5]]+Table_1[[#This Row],[Column4]]</f>
        <v>925</v>
      </c>
      <c r="I722" s="38">
        <v>114.98</v>
      </c>
      <c r="J722" s="34">
        <f>'PACC GENERAL 2026'!$I722*'PACC GENERAL 2026'!$H722</f>
        <v>106356.5</v>
      </c>
      <c r="K722" s="35"/>
      <c r="L722" s="31"/>
      <c r="M722" s="31"/>
      <c r="N722" s="31"/>
      <c r="O722" s="65" t="s">
        <v>1653</v>
      </c>
      <c r="P722" s="320"/>
    </row>
    <row r="723" spans="1:16" s="97" customFormat="1" ht="15.75" customHeight="1">
      <c r="A723" s="31" t="s">
        <v>25</v>
      </c>
      <c r="B723" s="31" t="s">
        <v>1295</v>
      </c>
      <c r="C723" s="32" t="s">
        <v>94</v>
      </c>
      <c r="D723" s="137">
        <v>200</v>
      </c>
      <c r="E723" s="133"/>
      <c r="F723" s="133"/>
      <c r="G723" s="137"/>
      <c r="H723" s="67">
        <f>+Table_1[[#This Row],[Column7]]+Table_1[[#This Row],[Column6]]+Table_1[[#This Row],[Column5]]+Table_1[[#This Row],[Column4]]</f>
        <v>200</v>
      </c>
      <c r="I723" s="38">
        <v>77</v>
      </c>
      <c r="J723" s="34">
        <f>'PACC GENERAL 2026'!$I723*'PACC GENERAL 2026'!$H723</f>
        <v>15400</v>
      </c>
      <c r="K723" s="35"/>
      <c r="L723" s="31"/>
      <c r="O723" s="32" t="s">
        <v>1301</v>
      </c>
    </row>
    <row r="724" spans="1:16" s="97" customFormat="1" ht="17.149999999999999" customHeight="1">
      <c r="A724" s="31" t="s">
        <v>25</v>
      </c>
      <c r="B724" s="31" t="s">
        <v>173</v>
      </c>
      <c r="C724" s="32" t="s">
        <v>94</v>
      </c>
      <c r="D724" s="133">
        <v>555</v>
      </c>
      <c r="E724" s="133"/>
      <c r="F724" s="133"/>
      <c r="G724" s="133"/>
      <c r="H724" s="67">
        <f>+Table_1[[#This Row],[Column7]]+Table_1[[#This Row],[Column6]]+Table_1[[#This Row],[Column5]]+Table_1[[#This Row],[Column4]]</f>
        <v>555</v>
      </c>
      <c r="I724" s="38">
        <v>9.91</v>
      </c>
      <c r="J724" s="34">
        <f>'PACC GENERAL 2026'!$I724*'PACC GENERAL 2026'!$H724</f>
        <v>5500.05</v>
      </c>
      <c r="K724" s="35"/>
      <c r="L724" s="31"/>
      <c r="M724" s="31"/>
      <c r="N724" s="31"/>
      <c r="O724" s="65" t="s">
        <v>1653</v>
      </c>
      <c r="P724" s="320"/>
    </row>
    <row r="725" spans="1:16" s="97" customFormat="1" ht="15.5">
      <c r="A725" s="31" t="s">
        <v>25</v>
      </c>
      <c r="B725" s="31" t="s">
        <v>174</v>
      </c>
      <c r="C725" s="32" t="s">
        <v>94</v>
      </c>
      <c r="D725" s="133">
        <v>555</v>
      </c>
      <c r="E725" s="133"/>
      <c r="F725" s="133"/>
      <c r="G725" s="133"/>
      <c r="H725" s="67">
        <f>+Table_1[[#This Row],[Column7]]+Table_1[[#This Row],[Column6]]+Table_1[[#This Row],[Column5]]+Table_1[[#This Row],[Column4]]</f>
        <v>555</v>
      </c>
      <c r="I725" s="38">
        <v>14.51</v>
      </c>
      <c r="J725" s="34">
        <f>'PACC GENERAL 2026'!$I725*'PACC GENERAL 2026'!$H725</f>
        <v>8053.05</v>
      </c>
      <c r="K725" s="35"/>
      <c r="L725" s="31"/>
      <c r="M725" s="31"/>
      <c r="N725" s="31"/>
      <c r="O725" s="65" t="s">
        <v>1653</v>
      </c>
      <c r="P725" s="320"/>
    </row>
    <row r="726" spans="1:16" s="97" customFormat="1" ht="15.5">
      <c r="A726" s="31" t="s">
        <v>25</v>
      </c>
      <c r="B726" s="31" t="s">
        <v>175</v>
      </c>
      <c r="C726" s="32" t="s">
        <v>94</v>
      </c>
      <c r="D726" s="133">
        <v>370</v>
      </c>
      <c r="E726" s="133"/>
      <c r="F726" s="133"/>
      <c r="G726" s="133"/>
      <c r="H726" s="67">
        <f>+Table_1[[#This Row],[Column7]]+Table_1[[#This Row],[Column6]]+Table_1[[#This Row],[Column5]]+Table_1[[#This Row],[Column4]]</f>
        <v>370</v>
      </c>
      <c r="I726" s="38">
        <v>22.95</v>
      </c>
      <c r="J726" s="34">
        <f>'PACC GENERAL 2026'!$I726*'PACC GENERAL 2026'!$H726</f>
        <v>8491.5</v>
      </c>
      <c r="K726" s="35"/>
      <c r="L726" s="31"/>
      <c r="M726" s="31"/>
      <c r="N726" s="31"/>
      <c r="O726" s="65" t="s">
        <v>1653</v>
      </c>
      <c r="P726" s="320"/>
    </row>
    <row r="727" spans="1:16" s="97" customFormat="1" ht="15.5">
      <c r="A727" s="31" t="s">
        <v>25</v>
      </c>
      <c r="B727" s="31" t="s">
        <v>186</v>
      </c>
      <c r="C727" s="32" t="s">
        <v>94</v>
      </c>
      <c r="D727" s="133">
        <v>2640</v>
      </c>
      <c r="E727" s="133"/>
      <c r="F727" s="133"/>
      <c r="G727" s="133"/>
      <c r="H727" s="67">
        <f t="shared" si="20"/>
        <v>2640</v>
      </c>
      <c r="I727" s="38">
        <v>9.1199999999999992</v>
      </c>
      <c r="J727" s="34">
        <f t="shared" si="19"/>
        <v>24076.799999999999</v>
      </c>
      <c r="K727" s="35"/>
      <c r="L727" s="31"/>
      <c r="M727" s="31"/>
      <c r="N727" s="31"/>
      <c r="O727" s="32" t="s">
        <v>975</v>
      </c>
      <c r="P727" s="320"/>
    </row>
    <row r="728" spans="1:16" s="97" customFormat="1" ht="15.5">
      <c r="A728" s="31" t="s">
        <v>25</v>
      </c>
      <c r="B728" s="31" t="s">
        <v>186</v>
      </c>
      <c r="C728" s="32" t="s">
        <v>94</v>
      </c>
      <c r="D728" s="133">
        <v>5500</v>
      </c>
      <c r="E728" s="133"/>
      <c r="F728" s="133"/>
      <c r="G728" s="133"/>
      <c r="H728" s="67">
        <f>+Table_1[[#This Row],[Column7]]+Table_1[[#This Row],[Column6]]+Table_1[[#This Row],[Column5]]+Table_1[[#This Row],[Column4]]</f>
        <v>5500</v>
      </c>
      <c r="I728" s="38">
        <v>9.1199999999999992</v>
      </c>
      <c r="J728" s="34">
        <f>'PACC GENERAL 2026'!$I728*'PACC GENERAL 2026'!$H728</f>
        <v>50159.999999999993</v>
      </c>
      <c r="K728" s="35"/>
      <c r="L728" s="31"/>
      <c r="M728" s="31"/>
      <c r="N728" s="31"/>
      <c r="O728" s="65" t="s">
        <v>1653</v>
      </c>
      <c r="P728" s="320"/>
    </row>
    <row r="729" spans="1:16" s="97" customFormat="1" ht="15.5">
      <c r="A729" s="31" t="s">
        <v>25</v>
      </c>
      <c r="B729" s="31" t="s">
        <v>187</v>
      </c>
      <c r="C729" s="32" t="s">
        <v>94</v>
      </c>
      <c r="D729" s="133">
        <v>6660</v>
      </c>
      <c r="E729" s="133"/>
      <c r="F729" s="133"/>
      <c r="G729" s="133"/>
      <c r="H729" s="67">
        <f>+Table_1[[#This Row],[Column7]]+Table_1[[#This Row],[Column6]]+Table_1[[#This Row],[Column5]]+Table_1[[#This Row],[Column4]]</f>
        <v>6660</v>
      </c>
      <c r="I729" s="38">
        <v>11.13</v>
      </c>
      <c r="J729" s="34">
        <f>'PACC GENERAL 2026'!$I729*'PACC GENERAL 2026'!$H729</f>
        <v>74125.8</v>
      </c>
      <c r="K729" s="35"/>
      <c r="L729" s="31"/>
      <c r="M729" s="31"/>
      <c r="N729" s="31"/>
      <c r="O729" s="65" t="s">
        <v>1653</v>
      </c>
      <c r="P729" s="320"/>
    </row>
    <row r="730" spans="1:16" s="97" customFormat="1" ht="15.5">
      <c r="A730" s="31" t="s">
        <v>25</v>
      </c>
      <c r="B730" s="31" t="s">
        <v>188</v>
      </c>
      <c r="C730" s="32" t="s">
        <v>94</v>
      </c>
      <c r="D730" s="133">
        <v>814</v>
      </c>
      <c r="E730" s="133"/>
      <c r="F730" s="133"/>
      <c r="G730" s="133"/>
      <c r="H730" s="67">
        <f>+Table_1[[#This Row],[Column7]]+Table_1[[#This Row],[Column6]]+Table_1[[#This Row],[Column5]]+Table_1[[#This Row],[Column4]]</f>
        <v>814</v>
      </c>
      <c r="I730" s="38">
        <v>19</v>
      </c>
      <c r="J730" s="34">
        <f>'PACC GENERAL 2026'!$I730*'PACC GENERAL 2026'!$H730</f>
        <v>15466</v>
      </c>
      <c r="K730" s="35"/>
      <c r="L730" s="31"/>
      <c r="M730" s="31"/>
      <c r="N730" s="31"/>
      <c r="O730" s="65" t="s">
        <v>1653</v>
      </c>
      <c r="P730" s="320"/>
    </row>
    <row r="731" spans="1:16" s="97" customFormat="1" ht="15.5">
      <c r="A731" s="31" t="s">
        <v>25</v>
      </c>
      <c r="B731" s="31" t="s">
        <v>189</v>
      </c>
      <c r="C731" s="32" t="s">
        <v>94</v>
      </c>
      <c r="D731" s="133">
        <v>790</v>
      </c>
      <c r="E731" s="133"/>
      <c r="F731" s="133"/>
      <c r="G731" s="133"/>
      <c r="H731" s="67">
        <f>+Table_1[[#This Row],[Column7]]+Table_1[[#This Row],[Column6]]+Table_1[[#This Row],[Column5]]+Table_1[[#This Row],[Column4]]</f>
        <v>790</v>
      </c>
      <c r="I731" s="38">
        <v>40.049999999999997</v>
      </c>
      <c r="J731" s="34">
        <f>'PACC GENERAL 2026'!$I731*'PACC GENERAL 2026'!$H731</f>
        <v>31639.499999999996</v>
      </c>
      <c r="K731" s="35"/>
      <c r="L731" s="31"/>
      <c r="M731" s="31"/>
      <c r="N731" s="31"/>
      <c r="O731" s="65" t="s">
        <v>1653</v>
      </c>
      <c r="P731" s="320"/>
    </row>
    <row r="732" spans="1:16" s="97" customFormat="1" ht="15.5">
      <c r="A732" s="31" t="s">
        <v>25</v>
      </c>
      <c r="B732" s="31" t="s">
        <v>198</v>
      </c>
      <c r="C732" s="32" t="s">
        <v>94</v>
      </c>
      <c r="D732" s="133">
        <v>444</v>
      </c>
      <c r="E732" s="133"/>
      <c r="F732" s="133"/>
      <c r="G732" s="133"/>
      <c r="H732" s="67">
        <f>+Table_1[[#This Row],[Column7]]+Table_1[[#This Row],[Column6]]+Table_1[[#This Row],[Column5]]+Table_1[[#This Row],[Column4]]</f>
        <v>444</v>
      </c>
      <c r="I732" s="38">
        <v>28</v>
      </c>
      <c r="J732" s="34">
        <f>'PACC GENERAL 2026'!$I732*'PACC GENERAL 2026'!$H732</f>
        <v>12432</v>
      </c>
      <c r="K732" s="35"/>
      <c r="L732" s="31"/>
      <c r="M732" s="31"/>
      <c r="N732" s="31"/>
      <c r="O732" s="65" t="s">
        <v>1653</v>
      </c>
      <c r="P732" s="320"/>
    </row>
    <row r="733" spans="1:16" s="97" customFormat="1" ht="15.5">
      <c r="A733" s="31" t="s">
        <v>25</v>
      </c>
      <c r="B733" s="31" t="s">
        <v>427</v>
      </c>
      <c r="C733" s="32" t="s">
        <v>94</v>
      </c>
      <c r="D733" s="133">
        <v>30</v>
      </c>
      <c r="E733" s="133"/>
      <c r="F733" s="133"/>
      <c r="G733" s="133"/>
      <c r="H733" s="67">
        <f t="shared" si="20"/>
        <v>30</v>
      </c>
      <c r="I733" s="38">
        <v>65</v>
      </c>
      <c r="J733" s="34">
        <f t="shared" si="19"/>
        <v>1950</v>
      </c>
      <c r="K733" s="35"/>
      <c r="L733" s="31"/>
      <c r="M733" s="31"/>
      <c r="N733" s="31"/>
      <c r="O733" s="32" t="s">
        <v>975</v>
      </c>
      <c r="P733" s="320"/>
    </row>
    <row r="734" spans="1:16" ht="15.75" customHeight="1">
      <c r="A734" s="9" t="s">
        <v>25</v>
      </c>
      <c r="B734" s="10"/>
      <c r="C734" s="10"/>
      <c r="D734" s="152"/>
      <c r="E734" s="152"/>
      <c r="F734" s="152"/>
      <c r="G734" s="152"/>
      <c r="H734" s="111"/>
      <c r="I734" s="44"/>
      <c r="J734" s="12"/>
      <c r="K734" s="13">
        <f>SUM(J605:J733)</f>
        <v>62130069.459999986</v>
      </c>
      <c r="L734" s="10"/>
      <c r="M734" s="10"/>
      <c r="N734" s="10"/>
      <c r="O734" s="73"/>
    </row>
    <row r="735" spans="1:16" s="97" customFormat="1" ht="15.75" customHeight="1">
      <c r="A735" s="31" t="s">
        <v>621</v>
      </c>
      <c r="B735" s="31" t="s">
        <v>435</v>
      </c>
      <c r="C735" s="65" t="s">
        <v>133</v>
      </c>
      <c r="D735" s="139"/>
      <c r="E735" s="139"/>
      <c r="F735" s="139"/>
      <c r="G735" s="139"/>
      <c r="H735" s="67">
        <f>+Table_1[[#This Row],[Column7]]+Table_1[[#This Row],[Column6]]+Table_1[[#This Row],[Column5]]+Table_1[[#This Row],[Column4]]</f>
        <v>0</v>
      </c>
      <c r="I735" s="38">
        <v>595</v>
      </c>
      <c r="J735" s="34">
        <f>'PACC GENERAL 2026'!$I735*'PACC GENERAL 2026'!$H735</f>
        <v>0</v>
      </c>
      <c r="K735" s="35"/>
      <c r="L735" s="32"/>
      <c r="M735" s="86"/>
      <c r="N735" s="86"/>
      <c r="O735" s="32"/>
      <c r="P735" s="320"/>
    </row>
    <row r="736" spans="1:16" s="97" customFormat="1" ht="15.75" customHeight="1">
      <c r="A736" s="31" t="s">
        <v>621</v>
      </c>
      <c r="B736" s="31" t="s">
        <v>436</v>
      </c>
      <c r="C736" s="65" t="s">
        <v>133</v>
      </c>
      <c r="D736" s="139"/>
      <c r="E736" s="139"/>
      <c r="F736" s="139"/>
      <c r="G736" s="139"/>
      <c r="H736" s="67">
        <f>+Table_1[[#This Row],[Column7]]+Table_1[[#This Row],[Column6]]+Table_1[[#This Row],[Column5]]+Table_1[[#This Row],[Column4]]</f>
        <v>0</v>
      </c>
      <c r="I736" s="38">
        <v>595</v>
      </c>
      <c r="J736" s="34">
        <f>'PACC GENERAL 2026'!$I736*'PACC GENERAL 2026'!$H736</f>
        <v>0</v>
      </c>
      <c r="K736" s="35"/>
      <c r="L736" s="32"/>
      <c r="M736" s="86"/>
      <c r="N736" s="86"/>
      <c r="O736" s="32"/>
      <c r="P736" s="320"/>
    </row>
    <row r="737" spans="1:16" ht="15.75" customHeight="1">
      <c r="A737" s="78" t="s">
        <v>621</v>
      </c>
      <c r="B737" s="10"/>
      <c r="C737" s="10"/>
      <c r="D737" s="152"/>
      <c r="E737" s="152"/>
      <c r="F737" s="152"/>
      <c r="G737" s="152"/>
      <c r="H737" s="111"/>
      <c r="I737" s="44"/>
      <c r="J737" s="12"/>
      <c r="K737" s="13">
        <f>SUM(J735:J736)</f>
        <v>0</v>
      </c>
      <c r="L737" s="73"/>
      <c r="M737" s="10"/>
      <c r="N737" s="10"/>
      <c r="O737" s="73"/>
      <c r="P737" s="321"/>
    </row>
    <row r="738" spans="1:16" s="97" customFormat="1" ht="15.75" customHeight="1">
      <c r="A738" s="31" t="s">
        <v>622</v>
      </c>
      <c r="B738" s="31" t="s">
        <v>139</v>
      </c>
      <c r="C738" s="32" t="s">
        <v>94</v>
      </c>
      <c r="D738" s="133"/>
      <c r="E738" s="139"/>
      <c r="F738" s="133"/>
      <c r="G738" s="133"/>
      <c r="H738" s="67">
        <f>+Table_1[[#This Row],[Column7]]+Table_1[[#This Row],[Column6]]+Table_1[[#This Row],[Column5]]+Table_1[[#This Row],[Column4]]</f>
        <v>0</v>
      </c>
      <c r="I738" s="38">
        <v>1550</v>
      </c>
      <c r="J738" s="34">
        <f>'PACC GENERAL 2026'!$I738*'PACC GENERAL 2026'!$H738</f>
        <v>0</v>
      </c>
      <c r="K738" s="35"/>
      <c r="L738" s="32"/>
      <c r="M738" s="86"/>
      <c r="N738" s="86"/>
      <c r="O738" s="32"/>
      <c r="P738" s="320"/>
    </row>
    <row r="739" spans="1:16" ht="15.75" customHeight="1">
      <c r="A739" s="78" t="s">
        <v>622</v>
      </c>
      <c r="B739" s="10"/>
      <c r="C739" s="10"/>
      <c r="D739" s="152"/>
      <c r="E739" s="152"/>
      <c r="F739" s="152"/>
      <c r="G739" s="152"/>
      <c r="H739" s="111"/>
      <c r="I739" s="44"/>
      <c r="J739" s="12"/>
      <c r="K739" s="13">
        <f>+J738</f>
        <v>0</v>
      </c>
      <c r="L739" s="73"/>
      <c r="M739" s="10"/>
      <c r="N739" s="10"/>
      <c r="O739" s="73"/>
      <c r="P739" s="321"/>
    </row>
    <row r="740" spans="1:16" s="97" customFormat="1" ht="15.75" customHeight="1">
      <c r="A740" s="31" t="s">
        <v>720</v>
      </c>
      <c r="B740" s="31" t="s">
        <v>721</v>
      </c>
      <c r="C740" s="32" t="s">
        <v>133</v>
      </c>
      <c r="D740" s="137"/>
      <c r="E740" s="137"/>
      <c r="F740" s="139"/>
      <c r="G740" s="133"/>
      <c r="H740" s="67">
        <f>+Table_1[[#This Row],[Column7]]+Table_1[[#This Row],[Column6]]+Table_1[[#This Row],[Column5]]+Table_1[[#This Row],[Column4]]</f>
        <v>0</v>
      </c>
      <c r="I740" s="38">
        <v>17080.5</v>
      </c>
      <c r="J740" s="34">
        <f>+'PACC GENERAL 2026'!$H740*'PACC GENERAL 2026'!$I740</f>
        <v>0</v>
      </c>
      <c r="K740" s="35"/>
      <c r="L740" s="32"/>
      <c r="M740" s="86"/>
      <c r="N740" s="86"/>
      <c r="O740" s="32"/>
      <c r="P740" s="320"/>
    </row>
    <row r="741" spans="1:16" s="97" customFormat="1" ht="15.75" customHeight="1">
      <c r="A741" s="31" t="s">
        <v>720</v>
      </c>
      <c r="B741" s="31" t="s">
        <v>922</v>
      </c>
      <c r="C741" s="32" t="s">
        <v>133</v>
      </c>
      <c r="D741" s="137">
        <v>150</v>
      </c>
      <c r="E741" s="137"/>
      <c r="F741" s="139"/>
      <c r="G741" s="133"/>
      <c r="H741" s="67">
        <f>+Table_1[[#This Row],[Column7]]+Table_1[[#This Row],[Column6]]+Table_1[[#This Row],[Column5]]+Table_1[[#This Row],[Column4]]</f>
        <v>150</v>
      </c>
      <c r="I741" s="38">
        <v>60</v>
      </c>
      <c r="J741" s="34">
        <f>+'PACC GENERAL 2026'!$H741*'PACC GENERAL 2026'!$I741</f>
        <v>9000</v>
      </c>
      <c r="K741" s="35"/>
      <c r="L741" s="32"/>
      <c r="M741" s="86"/>
      <c r="N741" s="86"/>
      <c r="O741" s="32" t="s">
        <v>404</v>
      </c>
      <c r="P741" s="320"/>
    </row>
    <row r="742" spans="1:16" s="97" customFormat="1" ht="15.75" customHeight="1">
      <c r="A742" s="31" t="s">
        <v>720</v>
      </c>
      <c r="B742" s="31" t="s">
        <v>923</v>
      </c>
      <c r="C742" s="32" t="s">
        <v>133</v>
      </c>
      <c r="D742" s="137">
        <v>800</v>
      </c>
      <c r="E742" s="137"/>
      <c r="F742" s="139"/>
      <c r="G742" s="133"/>
      <c r="H742" s="67">
        <f>+Table_1[[#This Row],[Column7]]+Table_1[[#This Row],[Column6]]+Table_1[[#This Row],[Column5]]+Table_1[[#This Row],[Column4]]</f>
        <v>800</v>
      </c>
      <c r="I742" s="38">
        <v>35</v>
      </c>
      <c r="J742" s="34">
        <f>+'PACC GENERAL 2026'!$H742*'PACC GENERAL 2026'!$I742</f>
        <v>28000</v>
      </c>
      <c r="K742" s="35"/>
      <c r="L742" s="32"/>
      <c r="M742" s="86"/>
      <c r="N742" s="86"/>
      <c r="O742" s="32" t="s">
        <v>404</v>
      </c>
      <c r="P742" s="320"/>
    </row>
    <row r="743" spans="1:16" s="97" customFormat="1" ht="15.75" customHeight="1">
      <c r="A743" s="31" t="s">
        <v>720</v>
      </c>
      <c r="B743" s="31" t="s">
        <v>721</v>
      </c>
      <c r="C743" s="32" t="s">
        <v>133</v>
      </c>
      <c r="D743" s="137">
        <v>80</v>
      </c>
      <c r="E743" s="137"/>
      <c r="F743" s="139"/>
      <c r="G743" s="133"/>
      <c r="H743" s="67">
        <f>+Table_1[[#This Row],[Column7]]+Table_1[[#This Row],[Column6]]+Table_1[[#This Row],[Column5]]+Table_1[[#This Row],[Column4]]</f>
        <v>80</v>
      </c>
      <c r="I743" s="38">
        <v>17080.5</v>
      </c>
      <c r="J743" s="34">
        <f>+'PACC GENERAL 2026'!$H743*'PACC GENERAL 2026'!$I743</f>
        <v>1366440</v>
      </c>
      <c r="K743" s="35"/>
      <c r="L743" s="32"/>
      <c r="M743" s="86"/>
      <c r="N743" s="86"/>
      <c r="O743" s="32" t="s">
        <v>1001</v>
      </c>
      <c r="P743" s="320"/>
    </row>
    <row r="744" spans="1:16" s="97" customFormat="1" ht="15.75" customHeight="1">
      <c r="A744" s="31" t="s">
        <v>720</v>
      </c>
      <c r="B744" s="31" t="s">
        <v>722</v>
      </c>
      <c r="C744" s="32" t="s">
        <v>133</v>
      </c>
      <c r="D744" s="137">
        <v>50</v>
      </c>
      <c r="E744" s="137"/>
      <c r="F744" s="139"/>
      <c r="G744" s="133"/>
      <c r="H744" s="67">
        <f>+Table_1[[#This Row],[Column7]]+Table_1[[#This Row],[Column6]]+Table_1[[#This Row],[Column5]]+Table_1[[#This Row],[Column4]]</f>
        <v>50</v>
      </c>
      <c r="I744" s="38">
        <v>11506</v>
      </c>
      <c r="J744" s="34">
        <f>+'PACC GENERAL 2026'!$H744*'PACC GENERAL 2026'!$I744</f>
        <v>575300</v>
      </c>
      <c r="K744" s="35"/>
      <c r="L744" s="32"/>
      <c r="M744" s="86"/>
      <c r="N744" s="86"/>
      <c r="O744" s="32" t="s">
        <v>1001</v>
      </c>
      <c r="P744" s="320"/>
    </row>
    <row r="745" spans="1:16" s="97" customFormat="1" ht="15.75" customHeight="1">
      <c r="A745" s="31" t="s">
        <v>720</v>
      </c>
      <c r="B745" s="31" t="s">
        <v>722</v>
      </c>
      <c r="C745" s="32" t="s">
        <v>133</v>
      </c>
      <c r="D745" s="137"/>
      <c r="E745" s="137"/>
      <c r="F745" s="139"/>
      <c r="G745" s="133"/>
      <c r="H745" s="67">
        <f>+Table_1[[#This Row],[Column7]]+Table_1[[#This Row],[Column6]]+Table_1[[#This Row],[Column5]]+Table_1[[#This Row],[Column4]]</f>
        <v>0</v>
      </c>
      <c r="I745" s="38">
        <v>11506</v>
      </c>
      <c r="J745" s="34">
        <f>+'PACC GENERAL 2026'!$H745*'PACC GENERAL 2026'!$I745</f>
        <v>0</v>
      </c>
      <c r="K745" s="35"/>
      <c r="L745" s="32"/>
      <c r="M745" s="86"/>
      <c r="N745" s="86"/>
      <c r="O745" s="32"/>
      <c r="P745" s="320"/>
    </row>
    <row r="746" spans="1:16" ht="15.75" customHeight="1">
      <c r="A746" s="78" t="s">
        <v>720</v>
      </c>
      <c r="B746" s="10"/>
      <c r="C746" s="10"/>
      <c r="D746" s="152"/>
      <c r="E746" s="152"/>
      <c r="F746" s="152"/>
      <c r="G746" s="152"/>
      <c r="H746" s="111"/>
      <c r="I746" s="44"/>
      <c r="J746" s="12"/>
      <c r="K746" s="13">
        <f>SUM(J740:J745)</f>
        <v>1978740</v>
      </c>
      <c r="L746" s="73"/>
      <c r="M746" s="10"/>
      <c r="N746" s="10"/>
      <c r="O746" s="73"/>
      <c r="P746" s="321"/>
    </row>
    <row r="747" spans="1:16" s="97" customFormat="1" ht="15.75" customHeight="1">
      <c r="A747" s="31" t="s">
        <v>622</v>
      </c>
      <c r="B747" s="31" t="s">
        <v>139</v>
      </c>
      <c r="C747" s="32" t="s">
        <v>94</v>
      </c>
      <c r="D747" s="137"/>
      <c r="E747" s="137">
        <v>200</v>
      </c>
      <c r="F747" s="139"/>
      <c r="G747" s="133"/>
      <c r="H747" s="67">
        <f>+Table_1[[#This Row],[Column7]]+Table_1[[#This Row],[Column6]]+Table_1[[#This Row],[Column5]]+Table_1[[#This Row],[Column4]]</f>
        <v>200</v>
      </c>
      <c r="I747" s="38">
        <v>1550</v>
      </c>
      <c r="J747" s="34">
        <f>+'PACC GENERAL 2026'!$H747*'PACC GENERAL 2026'!$I747</f>
        <v>310000</v>
      </c>
      <c r="K747" s="35"/>
      <c r="L747" s="32"/>
      <c r="M747" s="86"/>
      <c r="N747" s="86"/>
      <c r="O747" s="32" t="s">
        <v>1224</v>
      </c>
      <c r="P747" s="320"/>
    </row>
    <row r="748" spans="1:16" ht="15.75" customHeight="1">
      <c r="A748" s="78" t="s">
        <v>622</v>
      </c>
      <c r="B748" s="10"/>
      <c r="C748" s="10"/>
      <c r="D748" s="152"/>
      <c r="E748" s="152"/>
      <c r="F748" s="152"/>
      <c r="G748" s="152"/>
      <c r="H748" s="111"/>
      <c r="I748" s="44"/>
      <c r="J748" s="12"/>
      <c r="K748" s="13">
        <f>+J747</f>
        <v>310000</v>
      </c>
      <c r="L748" s="73"/>
      <c r="M748" s="10"/>
      <c r="N748" s="10"/>
      <c r="O748" s="73"/>
      <c r="P748" s="321"/>
    </row>
    <row r="749" spans="1:16" s="418" customFormat="1" ht="15.75" customHeight="1">
      <c r="A749" s="126" t="s">
        <v>1682</v>
      </c>
      <c r="B749" s="126" t="s">
        <v>889</v>
      </c>
      <c r="C749" s="420" t="s">
        <v>133</v>
      </c>
      <c r="D749" s="416">
        <v>1000</v>
      </c>
      <c r="E749" s="416"/>
      <c r="F749" s="500"/>
      <c r="G749" s="421"/>
      <c r="H749" s="410">
        <f>+Table_1[[#This Row],[Column7]]+Table_1[[#This Row],[Column6]]+Table_1[[#This Row],[Column5]]+Table_1[[#This Row],[Column4]]</f>
        <v>1000</v>
      </c>
      <c r="I749" s="274">
        <v>49</v>
      </c>
      <c r="J749" s="422">
        <f>+'PACC GENERAL 2026'!$H749*'PACC GENERAL 2026'!$I749</f>
        <v>49000</v>
      </c>
      <c r="K749" s="423"/>
      <c r="L749" s="420"/>
      <c r="M749" s="425"/>
      <c r="N749" s="425"/>
      <c r="O749" s="420" t="s">
        <v>404</v>
      </c>
      <c r="P749" s="417"/>
    </row>
    <row r="750" spans="1:16" s="418" customFormat="1" ht="15.75" customHeight="1">
      <c r="A750" s="126" t="s">
        <v>1682</v>
      </c>
      <c r="B750" s="126" t="s">
        <v>908</v>
      </c>
      <c r="C750" s="420" t="s">
        <v>133</v>
      </c>
      <c r="D750" s="416">
        <v>1000</v>
      </c>
      <c r="E750" s="416"/>
      <c r="F750" s="500"/>
      <c r="G750" s="421"/>
      <c r="H750" s="410">
        <f>+Table_1[[#This Row],[Column7]]+Table_1[[#This Row],[Column6]]+Table_1[[#This Row],[Column5]]+Table_1[[#This Row],[Column4]]</f>
        <v>1000</v>
      </c>
      <c r="I750" s="274">
        <v>30</v>
      </c>
      <c r="J750" s="422">
        <f>+'PACC GENERAL 2026'!$H750*'PACC GENERAL 2026'!$I750</f>
        <v>30000</v>
      </c>
      <c r="K750" s="423"/>
      <c r="L750" s="420"/>
      <c r="M750" s="425"/>
      <c r="N750" s="425"/>
      <c r="O750" s="420" t="s">
        <v>404</v>
      </c>
      <c r="P750" s="417"/>
    </row>
    <row r="751" spans="1:16" s="418" customFormat="1" ht="15.75" customHeight="1">
      <c r="A751" s="126" t="s">
        <v>1682</v>
      </c>
      <c r="B751" s="126" t="s">
        <v>907</v>
      </c>
      <c r="C751" s="420" t="s">
        <v>133</v>
      </c>
      <c r="D751" s="416">
        <v>700</v>
      </c>
      <c r="E751" s="416"/>
      <c r="F751" s="500"/>
      <c r="G751" s="421"/>
      <c r="H751" s="410">
        <f>+Table_1[[#This Row],[Column7]]+Table_1[[#This Row],[Column6]]+Table_1[[#This Row],[Column5]]+Table_1[[#This Row],[Column4]]</f>
        <v>700</v>
      </c>
      <c r="I751" s="274">
        <v>55</v>
      </c>
      <c r="J751" s="422">
        <f>+'PACC GENERAL 2026'!$H751*'PACC GENERAL 2026'!$I751</f>
        <v>38500</v>
      </c>
      <c r="K751" s="423"/>
      <c r="L751" s="420"/>
      <c r="M751" s="425"/>
      <c r="N751" s="425"/>
      <c r="O751" s="420" t="s">
        <v>404</v>
      </c>
      <c r="P751" s="417"/>
    </row>
    <row r="752" spans="1:16" s="418" customFormat="1" ht="15.75" customHeight="1">
      <c r="A752" s="126" t="s">
        <v>1682</v>
      </c>
      <c r="B752" s="126" t="s">
        <v>1692</v>
      </c>
      <c r="C752" s="420" t="s">
        <v>133</v>
      </c>
      <c r="D752" s="416">
        <v>700</v>
      </c>
      <c r="E752" s="416"/>
      <c r="F752" s="500"/>
      <c r="G752" s="421"/>
      <c r="H752" s="410">
        <f>+Table_1[[#This Row],[Column7]]+Table_1[[#This Row],[Column6]]+Table_1[[#This Row],[Column5]]+Table_1[[#This Row],[Column4]]</f>
        <v>700</v>
      </c>
      <c r="I752" s="274">
        <v>38</v>
      </c>
      <c r="J752" s="422">
        <f>+'PACC GENERAL 2026'!$H752*'PACC GENERAL 2026'!$I752</f>
        <v>26600</v>
      </c>
      <c r="K752" s="423"/>
      <c r="L752" s="420"/>
      <c r="M752" s="425"/>
      <c r="N752" s="425"/>
      <c r="O752" s="420" t="s">
        <v>404</v>
      </c>
      <c r="P752" s="417"/>
    </row>
    <row r="753" spans="1:16" s="406" customFormat="1" ht="15.75" customHeight="1">
      <c r="A753" s="78" t="s">
        <v>1682</v>
      </c>
      <c r="B753" s="10"/>
      <c r="C753" s="10"/>
      <c r="D753" s="152"/>
      <c r="E753" s="152"/>
      <c r="F753" s="152"/>
      <c r="G753" s="152"/>
      <c r="H753" s="111"/>
      <c r="I753" s="44"/>
      <c r="J753" s="12"/>
      <c r="K753" s="13">
        <f>SUM(J749:J752)</f>
        <v>144100</v>
      </c>
      <c r="L753" s="73"/>
      <c r="M753" s="10"/>
      <c r="N753" s="10"/>
      <c r="O753" s="73"/>
      <c r="P753" s="321"/>
    </row>
    <row r="754" spans="1:16" s="287" customFormat="1" ht="15.75" customHeight="1">
      <c r="A754" s="36" t="s">
        <v>26</v>
      </c>
      <c r="B754" s="36" t="s">
        <v>762</v>
      </c>
      <c r="C754" s="37" t="s">
        <v>94</v>
      </c>
      <c r="D754" s="138"/>
      <c r="E754" s="138"/>
      <c r="F754" s="138"/>
      <c r="G754" s="335"/>
      <c r="H754" s="67">
        <f>+Table_1[[#This Row],[Column7]]+Table_1[[#This Row],[Column6]]+Table_1[[#This Row],[Column5]]+Table_1[[#This Row],[Column4]]</f>
        <v>0</v>
      </c>
      <c r="I754" s="38">
        <v>30000</v>
      </c>
      <c r="J754" s="39">
        <f>'PACC GENERAL 2026'!$I754*'PACC GENERAL 2026'!$H754</f>
        <v>0</v>
      </c>
      <c r="K754" s="40"/>
      <c r="L754" s="36"/>
      <c r="M754" s="36"/>
      <c r="N754" s="37"/>
      <c r="O754" s="37"/>
      <c r="P754" s="323"/>
    </row>
    <row r="755" spans="1:16" s="97" customFormat="1" ht="15.5">
      <c r="A755" s="48" t="s">
        <v>26</v>
      </c>
      <c r="B755" s="48" t="s">
        <v>1048</v>
      </c>
      <c r="C755" s="32" t="s">
        <v>94</v>
      </c>
      <c r="D755" s="155">
        <v>10</v>
      </c>
      <c r="E755" s="137"/>
      <c r="F755" s="157"/>
      <c r="G755" s="133"/>
      <c r="H755" s="67">
        <f>+Table_1[[#This Row],[Column7]]+Table_1[[#This Row],[Column6]]+Table_1[[#This Row],[Column5]]+Table_1[[#This Row],[Column4]]</f>
        <v>10</v>
      </c>
      <c r="I755" s="38">
        <v>49000</v>
      </c>
      <c r="J755" s="34">
        <f>+'PACC GENERAL 2026'!$H755*'PACC GENERAL 2026'!$I755</f>
        <v>490000</v>
      </c>
      <c r="K755" s="35"/>
      <c r="L755" s="31"/>
      <c r="M755" s="31"/>
      <c r="N755" s="32"/>
      <c r="O755" s="328" t="s">
        <v>1018</v>
      </c>
      <c r="P755" s="320"/>
    </row>
    <row r="756" spans="1:16" s="97" customFormat="1" ht="15.65" customHeight="1">
      <c r="A756" s="48" t="s">
        <v>26</v>
      </c>
      <c r="B756" s="48" t="s">
        <v>1049</v>
      </c>
      <c r="C756" s="32" t="s">
        <v>94</v>
      </c>
      <c r="D756" s="155">
        <v>10</v>
      </c>
      <c r="E756" s="137"/>
      <c r="F756" s="157"/>
      <c r="G756" s="133"/>
      <c r="H756" s="67">
        <f>+Table_1[[#This Row],[Column7]]+Table_1[[#This Row],[Column6]]+Table_1[[#This Row],[Column5]]+Table_1[[#This Row],[Column4]]</f>
        <v>10</v>
      </c>
      <c r="I756" s="38">
        <v>58000</v>
      </c>
      <c r="J756" s="34">
        <f>+'PACC GENERAL 2026'!$H756*'PACC GENERAL 2026'!$I756</f>
        <v>580000</v>
      </c>
      <c r="K756" s="35"/>
      <c r="L756" s="31"/>
      <c r="M756" s="31"/>
      <c r="N756" s="32"/>
      <c r="O756" s="328" t="s">
        <v>1018</v>
      </c>
      <c r="P756" s="320"/>
    </row>
    <row r="757" spans="1:16" s="97" customFormat="1" ht="15.5">
      <c r="A757" s="31" t="s">
        <v>26</v>
      </c>
      <c r="B757" s="66" t="s">
        <v>819</v>
      </c>
      <c r="C757" s="32" t="s">
        <v>94</v>
      </c>
      <c r="D757" s="137"/>
      <c r="E757" s="137"/>
      <c r="F757" s="137"/>
      <c r="G757" s="133"/>
      <c r="H757" s="67">
        <f>+Table_1[[#This Row],[Column7]]+Table_1[[#This Row],[Column6]]+Table_1[[#This Row],[Column5]]+Table_1[[#This Row],[Column4]]</f>
        <v>0</v>
      </c>
      <c r="I757" s="125">
        <v>55000</v>
      </c>
      <c r="J757" s="34">
        <f>+'PACC GENERAL 2026'!$H757*'PACC GENERAL 2026'!$I757</f>
        <v>0</v>
      </c>
      <c r="K757" s="35"/>
      <c r="L757" s="31"/>
      <c r="M757" s="31"/>
      <c r="N757" s="32"/>
      <c r="O757" s="32" t="s">
        <v>1224</v>
      </c>
      <c r="P757" s="320"/>
    </row>
    <row r="758" spans="1:16" s="97" customFormat="1" ht="15.5">
      <c r="A758" s="48" t="s">
        <v>26</v>
      </c>
      <c r="B758" s="48" t="s">
        <v>1050</v>
      </c>
      <c r="C758" s="32" t="s">
        <v>94</v>
      </c>
      <c r="D758" s="137">
        <v>10</v>
      </c>
      <c r="E758" s="155"/>
      <c r="F758" s="157">
        <f>2+10</f>
        <v>12</v>
      </c>
      <c r="G758" s="133"/>
      <c r="H758" s="67">
        <f>+Table_1[[#This Row],[Column7]]+Table_1[[#This Row],[Column6]]+Table_1[[#This Row],[Column5]]+Table_1[[#This Row],[Column4]]</f>
        <v>22</v>
      </c>
      <c r="I758" s="38">
        <v>68000</v>
      </c>
      <c r="J758" s="34">
        <f>+'PACC GENERAL 2026'!$H758*'PACC GENERAL 2026'!$I758</f>
        <v>1496000</v>
      </c>
      <c r="K758" s="35"/>
      <c r="L758" s="31"/>
      <c r="M758" s="31"/>
      <c r="N758" s="32"/>
      <c r="O758" s="326" t="s">
        <v>1673</v>
      </c>
      <c r="P758" s="320"/>
    </row>
    <row r="759" spans="1:16" s="97" customFormat="1" ht="15.5">
      <c r="A759" s="48" t="s">
        <v>26</v>
      </c>
      <c r="B759" s="48" t="s">
        <v>1051</v>
      </c>
      <c r="C759" s="32" t="s">
        <v>94</v>
      </c>
      <c r="D759" s="155">
        <v>10</v>
      </c>
      <c r="E759" s="137"/>
      <c r="F759" s="137">
        <v>10</v>
      </c>
      <c r="G759" s="133"/>
      <c r="H759" s="67">
        <f>+Table_1[[#This Row],[Column7]]+Table_1[[#This Row],[Column6]]+Table_1[[#This Row],[Column5]]+Table_1[[#This Row],[Column4]]</f>
        <v>20</v>
      </c>
      <c r="I759" s="38">
        <v>80000</v>
      </c>
      <c r="J759" s="34">
        <f>+'PACC GENERAL 2026'!$H759*'PACC GENERAL 2026'!$I759</f>
        <v>1600000</v>
      </c>
      <c r="K759" s="35"/>
      <c r="L759" s="31"/>
      <c r="M759" s="31"/>
      <c r="N759" s="32"/>
      <c r="O759" s="328" t="s">
        <v>1674</v>
      </c>
      <c r="P759" s="320"/>
    </row>
    <row r="760" spans="1:16" s="97" customFormat="1" ht="15.5">
      <c r="A760" s="48" t="s">
        <v>26</v>
      </c>
      <c r="B760" s="48" t="s">
        <v>1672</v>
      </c>
      <c r="C760" s="32" t="s">
        <v>94</v>
      </c>
      <c r="D760" s="155">
        <v>6</v>
      </c>
      <c r="E760" s="137"/>
      <c r="F760" s="137"/>
      <c r="G760" s="133"/>
      <c r="H760" s="67">
        <f>+Table_1[[#This Row],[Column7]]+Table_1[[#This Row],[Column6]]+Table_1[[#This Row],[Column5]]+Table_1[[#This Row],[Column4]]</f>
        <v>6</v>
      </c>
      <c r="I760" s="38">
        <v>130000</v>
      </c>
      <c r="J760" s="34">
        <f>+'PACC GENERAL 2026'!$H760*'PACC GENERAL 2026'!$I760</f>
        <v>780000</v>
      </c>
      <c r="K760" s="35"/>
      <c r="L760" s="31"/>
      <c r="M760" s="31"/>
      <c r="N760" s="32"/>
      <c r="O760" s="326" t="s">
        <v>1654</v>
      </c>
      <c r="P760" s="320"/>
    </row>
    <row r="761" spans="1:16" s="97" customFormat="1" ht="15.75" customHeight="1">
      <c r="A761" s="31" t="s">
        <v>26</v>
      </c>
      <c r="B761" s="31" t="s">
        <v>1448</v>
      </c>
      <c r="C761" s="32" t="s">
        <v>94</v>
      </c>
      <c r="D761" s="137">
        <v>2</v>
      </c>
      <c r="E761" s="137"/>
      <c r="F761" s="155">
        <v>2</v>
      </c>
      <c r="G761" s="133"/>
      <c r="H761" s="67">
        <f>+Table_1[[#This Row],[Column7]]+Table_1[[#This Row],[Column6]]+Table_1[[#This Row],[Column5]]+Table_1[[#This Row],[Column4]]</f>
        <v>4</v>
      </c>
      <c r="I761" s="38">
        <v>245000</v>
      </c>
      <c r="J761" s="39">
        <f>'PACC GENERAL 2026'!$I761*'PACC GENERAL 2026'!$H761</f>
        <v>980000</v>
      </c>
      <c r="K761" s="35"/>
      <c r="L761" s="31"/>
      <c r="M761" s="31"/>
      <c r="N761" s="32"/>
      <c r="O761" s="32" t="s">
        <v>1481</v>
      </c>
      <c r="P761" s="320"/>
    </row>
    <row r="762" spans="1:16" s="97" customFormat="1" ht="15.5">
      <c r="A762" s="48" t="s">
        <v>26</v>
      </c>
      <c r="B762" s="48" t="s">
        <v>1044</v>
      </c>
      <c r="C762" s="32" t="s">
        <v>94</v>
      </c>
      <c r="D762" s="155">
        <v>2</v>
      </c>
      <c r="E762" s="137"/>
      <c r="F762" s="157"/>
      <c r="G762" s="133"/>
      <c r="H762" s="67">
        <f>+Table_1[[#This Row],[Column7]]+Table_1[[#This Row],[Column6]]+Table_1[[#This Row],[Column5]]+Table_1[[#This Row],[Column4]]</f>
        <v>2</v>
      </c>
      <c r="I762" s="38">
        <v>325000</v>
      </c>
      <c r="J762" s="34">
        <f>+'PACC GENERAL 2026'!$H762*'PACC GENERAL 2026'!$I762</f>
        <v>650000</v>
      </c>
      <c r="K762" s="35"/>
      <c r="L762" s="31"/>
      <c r="M762" s="31"/>
      <c r="N762" s="32"/>
      <c r="O762" s="328" t="s">
        <v>1018</v>
      </c>
      <c r="P762" s="320"/>
    </row>
    <row r="763" spans="1:16" s="287" customFormat="1" ht="31">
      <c r="A763" s="55" t="s">
        <v>26</v>
      </c>
      <c r="B763" s="55" t="s">
        <v>509</v>
      </c>
      <c r="C763" s="37" t="s">
        <v>94</v>
      </c>
      <c r="D763" s="236">
        <f>4+2</f>
        <v>6</v>
      </c>
      <c r="E763" s="213"/>
      <c r="F763" s="236">
        <f>2+5</f>
        <v>7</v>
      </c>
      <c r="G763" s="138"/>
      <c r="H763" s="110">
        <f>+Table_1[[#This Row],[Column7]]+Table_1[[#This Row],[Column6]]+Table_1[[#This Row],[Column5]]+Table_1[[#This Row],[Column4]]</f>
        <v>13</v>
      </c>
      <c r="I763" s="38">
        <v>385000</v>
      </c>
      <c r="J763" s="39">
        <f>+'PACC GENERAL 2026'!$H763*'PACC GENERAL 2026'!$I763</f>
        <v>5005000</v>
      </c>
      <c r="K763" s="40"/>
      <c r="L763" s="36"/>
      <c r="M763" s="36"/>
      <c r="N763" s="37"/>
      <c r="O763" s="402" t="s">
        <v>1482</v>
      </c>
      <c r="P763" s="323"/>
    </row>
    <row r="764" spans="1:16" s="287" customFormat="1" ht="15.5">
      <c r="A764" s="55" t="s">
        <v>26</v>
      </c>
      <c r="B764" s="55" t="s">
        <v>1045</v>
      </c>
      <c r="C764" s="37" t="s">
        <v>94</v>
      </c>
      <c r="D764" s="236">
        <v>2</v>
      </c>
      <c r="E764" s="213"/>
      <c r="F764" s="401"/>
      <c r="G764" s="138"/>
      <c r="H764" s="110">
        <f>+Table_1[[#This Row],[Column7]]+Table_1[[#This Row],[Column6]]+Table_1[[#This Row],[Column5]]+Table_1[[#This Row],[Column4]]</f>
        <v>2</v>
      </c>
      <c r="I764" s="38">
        <v>615000</v>
      </c>
      <c r="J764" s="39">
        <f>+'PACC GENERAL 2026'!$H764*'PACC GENERAL 2026'!$I764</f>
        <v>1230000</v>
      </c>
      <c r="K764" s="40"/>
      <c r="L764" s="36"/>
      <c r="M764" s="36"/>
      <c r="N764" s="37"/>
      <c r="O764" s="328" t="s">
        <v>1018</v>
      </c>
      <c r="P764" s="323"/>
    </row>
    <row r="765" spans="1:16" s="287" customFormat="1" ht="15.5">
      <c r="A765" s="55" t="s">
        <v>26</v>
      </c>
      <c r="B765" s="55" t="s">
        <v>1046</v>
      </c>
      <c r="C765" s="37" t="s">
        <v>94</v>
      </c>
      <c r="D765" s="236">
        <v>4</v>
      </c>
      <c r="E765" s="213"/>
      <c r="F765" s="401"/>
      <c r="G765" s="138"/>
      <c r="H765" s="110">
        <f>+Table_1[[#This Row],[Column7]]+Table_1[[#This Row],[Column6]]+Table_1[[#This Row],[Column5]]+Table_1[[#This Row],[Column4]]</f>
        <v>4</v>
      </c>
      <c r="I765" s="38">
        <v>1100000</v>
      </c>
      <c r="J765" s="39">
        <f>+'PACC GENERAL 2026'!$H765*'PACC GENERAL 2026'!$I765</f>
        <v>4400000</v>
      </c>
      <c r="K765" s="40"/>
      <c r="L765" s="36"/>
      <c r="M765" s="36"/>
      <c r="N765" s="37"/>
      <c r="O765" s="328" t="s">
        <v>1018</v>
      </c>
      <c r="P765" s="323"/>
    </row>
    <row r="766" spans="1:16" s="287" customFormat="1" ht="15.5">
      <c r="A766" s="55" t="s">
        <v>26</v>
      </c>
      <c r="B766" s="55" t="s">
        <v>510</v>
      </c>
      <c r="C766" s="37" t="s">
        <v>94</v>
      </c>
      <c r="D766" s="236">
        <v>9</v>
      </c>
      <c r="E766" s="213"/>
      <c r="F766" s="236">
        <v>1</v>
      </c>
      <c r="G766" s="138"/>
      <c r="H766" s="110">
        <f>+Table_1[[#This Row],[Column7]]+Table_1[[#This Row],[Column6]]+Table_1[[#This Row],[Column5]]+Table_1[[#This Row],[Column4]]</f>
        <v>10</v>
      </c>
      <c r="I766" s="38">
        <v>1325000</v>
      </c>
      <c r="J766" s="39">
        <f>+'PACC GENERAL 2026'!$H766*'PACC GENERAL 2026'!$I766</f>
        <v>13250000</v>
      </c>
      <c r="K766" s="40"/>
      <c r="L766" s="36"/>
      <c r="M766" s="36"/>
      <c r="N766" s="37"/>
      <c r="O766" s="402" t="s">
        <v>1655</v>
      </c>
      <c r="P766" s="323"/>
    </row>
    <row r="767" spans="1:16" s="287" customFormat="1" ht="16" customHeight="1">
      <c r="A767" s="55" t="s">
        <v>26</v>
      </c>
      <c r="B767" s="55" t="s">
        <v>1027</v>
      </c>
      <c r="C767" s="37" t="s">
        <v>94</v>
      </c>
      <c r="D767" s="236">
        <v>10</v>
      </c>
      <c r="E767" s="236"/>
      <c r="F767" s="401"/>
      <c r="G767" s="138"/>
      <c r="H767" s="110">
        <f>+Table_1[[#This Row],[Column7]]+Table_1[[#This Row],[Column6]]+Table_1[[#This Row],[Column5]]+Table_1[[#This Row],[Column4]]</f>
        <v>10</v>
      </c>
      <c r="I767" s="38">
        <v>1525000</v>
      </c>
      <c r="J767" s="39">
        <f>+'PACC GENERAL 2026'!$H767*'PACC GENERAL 2026'!$I767</f>
        <v>15250000</v>
      </c>
      <c r="K767" s="40"/>
      <c r="L767" s="36"/>
      <c r="M767" s="36"/>
      <c r="N767" s="37"/>
      <c r="O767" s="328" t="s">
        <v>1018</v>
      </c>
      <c r="P767" s="323"/>
    </row>
    <row r="768" spans="1:16" s="97" customFormat="1" ht="15.5">
      <c r="A768" s="48" t="s">
        <v>26</v>
      </c>
      <c r="B768" s="48" t="s">
        <v>1047</v>
      </c>
      <c r="C768" s="32" t="s">
        <v>94</v>
      </c>
      <c r="D768" s="137"/>
      <c r="E768" s="155"/>
      <c r="F768" s="157"/>
      <c r="G768" s="133"/>
      <c r="H768" s="67">
        <f>+Table_1[[#This Row],[Column7]]+Table_1[[#This Row],[Column6]]+Table_1[[#This Row],[Column5]]+Table_1[[#This Row],[Column4]]</f>
        <v>0</v>
      </c>
      <c r="I768" s="38">
        <v>1785000</v>
      </c>
      <c r="J768" s="34">
        <f>+'PACC GENERAL 2026'!$H768*'PACC GENERAL 2026'!$I768</f>
        <v>0</v>
      </c>
      <c r="K768" s="35"/>
      <c r="L768" s="31"/>
      <c r="M768" s="31"/>
      <c r="N768" s="32"/>
      <c r="O768" s="326" t="s">
        <v>1038</v>
      </c>
      <c r="P768" s="320"/>
    </row>
    <row r="769" spans="1:16" s="97" customFormat="1" ht="15.5">
      <c r="A769" s="31" t="s">
        <v>26</v>
      </c>
      <c r="B769" s="31" t="s">
        <v>1303</v>
      </c>
      <c r="C769" s="32" t="s">
        <v>93</v>
      </c>
      <c r="D769" s="137"/>
      <c r="E769" s="137"/>
      <c r="F769" s="137">
        <v>2</v>
      </c>
      <c r="G769" s="133"/>
      <c r="H769" s="67">
        <f>+Table_1[[#This Row],[Column7]]+Table_1[[#This Row],[Column6]]+Table_1[[#This Row],[Column5]]+Table_1[[#This Row],[Column4]]</f>
        <v>2</v>
      </c>
      <c r="I769" s="38">
        <v>40000</v>
      </c>
      <c r="J769" s="34">
        <f>+'PACC GENERAL 2026'!$H769*'PACC GENERAL 2026'!$I769</f>
        <v>80000</v>
      </c>
      <c r="K769" s="35"/>
      <c r="L769" s="31"/>
      <c r="M769" s="31"/>
      <c r="N769" s="32"/>
      <c r="O769" s="32" t="s">
        <v>1224</v>
      </c>
      <c r="P769" s="320"/>
    </row>
    <row r="770" spans="1:16" s="287" customFormat="1" ht="15.5">
      <c r="A770" s="55" t="s">
        <v>26</v>
      </c>
      <c r="B770" s="55" t="s">
        <v>1449</v>
      </c>
      <c r="C770" s="37" t="s">
        <v>94</v>
      </c>
      <c r="D770" s="236"/>
      <c r="E770" s="381"/>
      <c r="F770" s="401"/>
      <c r="G770" s="138"/>
      <c r="H770" s="110">
        <f>+Table_1[[#This Row],[Column7]]+Table_1[[#This Row],[Column6]]+Table_1[[#This Row],[Column5]]+Table_1[[#This Row],[Column4]]</f>
        <v>0</v>
      </c>
      <c r="I770" s="38">
        <v>525000</v>
      </c>
      <c r="J770" s="39">
        <f>+'PACC GENERAL 2026'!$H770*'PACC GENERAL 2026'!$I770</f>
        <v>0</v>
      </c>
      <c r="K770" s="40"/>
      <c r="L770" s="36"/>
      <c r="M770" s="36"/>
      <c r="N770" s="37"/>
      <c r="O770" s="328" t="s">
        <v>1018</v>
      </c>
      <c r="P770" s="323"/>
    </row>
    <row r="771" spans="1:16" s="287" customFormat="1" ht="15.5">
      <c r="A771" s="55" t="s">
        <v>26</v>
      </c>
      <c r="B771" s="55" t="s">
        <v>1450</v>
      </c>
      <c r="C771" s="37" t="s">
        <v>94</v>
      </c>
      <c r="D771" s="236"/>
      <c r="E771" s="381"/>
      <c r="F771" s="401"/>
      <c r="G771" s="138"/>
      <c r="H771" s="110">
        <f>+Table_1[[#This Row],[Column7]]+Table_1[[#This Row],[Column6]]+Table_1[[#This Row],[Column5]]+Table_1[[#This Row],[Column4]]</f>
        <v>0</v>
      </c>
      <c r="I771" s="38">
        <v>400000</v>
      </c>
      <c r="J771" s="39">
        <f>+'PACC GENERAL 2026'!$H771*'PACC GENERAL 2026'!$I771</f>
        <v>0</v>
      </c>
      <c r="K771" s="40"/>
      <c r="L771" s="36"/>
      <c r="M771" s="36"/>
      <c r="N771" s="37"/>
      <c r="O771" s="328" t="s">
        <v>1018</v>
      </c>
      <c r="P771" s="323"/>
    </row>
    <row r="772" spans="1:16" s="97" customFormat="1" ht="15.5">
      <c r="A772" s="48" t="s">
        <v>26</v>
      </c>
      <c r="B772" s="48" t="s">
        <v>1451</v>
      </c>
      <c r="C772" s="32" t="s">
        <v>94</v>
      </c>
      <c r="D772" s="155">
        <v>2</v>
      </c>
      <c r="E772" s="231"/>
      <c r="F772" s="157"/>
      <c r="G772" s="133"/>
      <c r="H772" s="67">
        <f>+Table_1[[#This Row],[Column7]]+Table_1[[#This Row],[Column6]]+Table_1[[#This Row],[Column5]]+Table_1[[#This Row],[Column4]]</f>
        <v>2</v>
      </c>
      <c r="I772" s="38">
        <v>1450000</v>
      </c>
      <c r="J772" s="34">
        <f>+'PACC GENERAL 2026'!$H772*'PACC GENERAL 2026'!$I772</f>
        <v>2900000</v>
      </c>
      <c r="K772" s="35"/>
      <c r="L772" s="31"/>
      <c r="M772" s="31"/>
      <c r="N772" s="32"/>
      <c r="O772" s="326" t="s">
        <v>1018</v>
      </c>
      <c r="P772" s="320"/>
    </row>
    <row r="773" spans="1:16" s="97" customFormat="1" ht="15.5">
      <c r="A773" s="48" t="s">
        <v>26</v>
      </c>
      <c r="B773" s="48" t="s">
        <v>1452</v>
      </c>
      <c r="C773" s="32" t="s">
        <v>94</v>
      </c>
      <c r="D773" s="155">
        <v>2</v>
      </c>
      <c r="E773" s="231"/>
      <c r="F773" s="157"/>
      <c r="G773" s="133"/>
      <c r="H773" s="67">
        <f>+Table_1[[#This Row],[Column7]]+Table_1[[#This Row],[Column6]]+Table_1[[#This Row],[Column5]]+Table_1[[#This Row],[Column4]]</f>
        <v>2</v>
      </c>
      <c r="I773" s="38">
        <v>425000</v>
      </c>
      <c r="J773" s="34">
        <f>+'PACC GENERAL 2026'!$H773*'PACC GENERAL 2026'!$I773</f>
        <v>850000</v>
      </c>
      <c r="K773" s="35"/>
      <c r="L773" s="31"/>
      <c r="M773" s="31"/>
      <c r="N773" s="32"/>
      <c r="O773" s="326" t="s">
        <v>1018</v>
      </c>
      <c r="P773" s="320"/>
    </row>
    <row r="774" spans="1:16" s="97" customFormat="1" ht="15.5">
      <c r="A774" s="48" t="s">
        <v>26</v>
      </c>
      <c r="B774" s="48" t="s">
        <v>1453</v>
      </c>
      <c r="C774" s="32" t="s">
        <v>94</v>
      </c>
      <c r="D774" s="155">
        <v>2</v>
      </c>
      <c r="E774" s="231"/>
      <c r="F774" s="157"/>
      <c r="G774" s="133"/>
      <c r="H774" s="67">
        <f>+Table_1[[#This Row],[Column7]]+Table_1[[#This Row],[Column6]]+Table_1[[#This Row],[Column5]]+Table_1[[#This Row],[Column4]]</f>
        <v>2</v>
      </c>
      <c r="I774" s="38">
        <v>245000</v>
      </c>
      <c r="J774" s="34">
        <f>+'PACC GENERAL 2026'!$H774*'PACC GENERAL 2026'!$I774</f>
        <v>490000</v>
      </c>
      <c r="K774" s="35"/>
      <c r="L774" s="31"/>
      <c r="M774" s="31"/>
      <c r="N774" s="32"/>
      <c r="O774" s="326" t="s">
        <v>1018</v>
      </c>
      <c r="P774" s="320"/>
    </row>
    <row r="775" spans="1:16" s="97" customFormat="1" ht="15.5">
      <c r="A775" s="48" t="s">
        <v>26</v>
      </c>
      <c r="B775" s="48" t="s">
        <v>1026</v>
      </c>
      <c r="C775" s="32" t="s">
        <v>94</v>
      </c>
      <c r="D775" s="155">
        <v>4</v>
      </c>
      <c r="E775" s="231"/>
      <c r="F775" s="157"/>
      <c r="G775" s="133"/>
      <c r="H775" s="67">
        <f>+Table_1[[#This Row],[Column7]]+Table_1[[#This Row],[Column6]]+Table_1[[#This Row],[Column5]]+Table_1[[#This Row],[Column4]]</f>
        <v>4</v>
      </c>
      <c r="I775" s="38">
        <v>90000</v>
      </c>
      <c r="J775" s="34">
        <f>+'PACC GENERAL 2026'!$H775*'PACC GENERAL 2026'!$I775</f>
        <v>360000</v>
      </c>
      <c r="K775" s="35"/>
      <c r="L775" s="31"/>
      <c r="M775" s="31"/>
      <c r="N775" s="32"/>
      <c r="O775" s="326" t="s">
        <v>1018</v>
      </c>
      <c r="P775" s="320"/>
    </row>
    <row r="776" spans="1:16" s="97" customFormat="1" ht="15.5">
      <c r="A776" s="48" t="s">
        <v>26</v>
      </c>
      <c r="B776" s="48" t="s">
        <v>1454</v>
      </c>
      <c r="C776" s="32" t="s">
        <v>94</v>
      </c>
      <c r="D776" s="155">
        <v>2</v>
      </c>
      <c r="E776" s="231"/>
      <c r="F776" s="157"/>
      <c r="G776" s="133"/>
      <c r="H776" s="67">
        <f>+Table_1[[#This Row],[Column7]]+Table_1[[#This Row],[Column6]]+Table_1[[#This Row],[Column5]]+Table_1[[#This Row],[Column4]]</f>
        <v>2</v>
      </c>
      <c r="I776" s="38">
        <v>1625000</v>
      </c>
      <c r="J776" s="34">
        <f>+'PACC GENERAL 2026'!$H776*'PACC GENERAL 2026'!$I776</f>
        <v>3250000</v>
      </c>
      <c r="K776" s="35"/>
      <c r="L776" s="31"/>
      <c r="M776" s="31"/>
      <c r="N776" s="32"/>
      <c r="O776" s="326" t="s">
        <v>1018</v>
      </c>
      <c r="P776" s="320"/>
    </row>
    <row r="777" spans="1:16" s="97" customFormat="1" ht="15.5">
      <c r="A777" s="48" t="s">
        <v>26</v>
      </c>
      <c r="B777" s="48" t="s">
        <v>1455</v>
      </c>
      <c r="C777" s="32" t="s">
        <v>94</v>
      </c>
      <c r="D777" s="155">
        <v>2</v>
      </c>
      <c r="E777" s="231"/>
      <c r="F777" s="157"/>
      <c r="G777" s="133"/>
      <c r="H777" s="67">
        <f>+Table_1[[#This Row],[Column7]]+Table_1[[#This Row],[Column6]]+Table_1[[#This Row],[Column5]]+Table_1[[#This Row],[Column4]]</f>
        <v>2</v>
      </c>
      <c r="I777" s="38">
        <v>560000</v>
      </c>
      <c r="J777" s="34">
        <f>+'PACC GENERAL 2026'!$H777*'PACC GENERAL 2026'!$I777</f>
        <v>1120000</v>
      </c>
      <c r="K777" s="35"/>
      <c r="L777" s="31"/>
      <c r="M777" s="31"/>
      <c r="N777" s="32"/>
      <c r="O777" s="326" t="s">
        <v>1018</v>
      </c>
      <c r="P777" s="320"/>
    </row>
    <row r="778" spans="1:16" s="97" customFormat="1" ht="15.5">
      <c r="A778" s="48" t="s">
        <v>26</v>
      </c>
      <c r="B778" s="48" t="s">
        <v>1456</v>
      </c>
      <c r="C778" s="32" t="s">
        <v>94</v>
      </c>
      <c r="D778" s="155">
        <v>1</v>
      </c>
      <c r="E778" s="231"/>
      <c r="F778" s="157"/>
      <c r="G778" s="133"/>
      <c r="H778" s="67">
        <f>+Table_1[[#This Row],[Column7]]+Table_1[[#This Row],[Column6]]+Table_1[[#This Row],[Column5]]+Table_1[[#This Row],[Column4]]</f>
        <v>1</v>
      </c>
      <c r="I778" s="38">
        <v>325000</v>
      </c>
      <c r="J778" s="34">
        <f>+'PACC GENERAL 2026'!$H778*'PACC GENERAL 2026'!$I778</f>
        <v>325000</v>
      </c>
      <c r="K778" s="35"/>
      <c r="L778" s="31"/>
      <c r="M778" s="31"/>
      <c r="N778" s="32"/>
      <c r="O778" s="326" t="s">
        <v>1018</v>
      </c>
      <c r="P778" s="320"/>
    </row>
    <row r="779" spans="1:16" s="97" customFormat="1" ht="15.5">
      <c r="A779" s="48" t="s">
        <v>26</v>
      </c>
      <c r="B779" s="48" t="s">
        <v>825</v>
      </c>
      <c r="C779" s="32" t="s">
        <v>94</v>
      </c>
      <c r="D779" s="155">
        <v>1</v>
      </c>
      <c r="E779" s="231"/>
      <c r="F779" s="157"/>
      <c r="G779" s="133"/>
      <c r="H779" s="67">
        <f>+Table_1[[#This Row],[Column7]]+Table_1[[#This Row],[Column6]]+Table_1[[#This Row],[Column5]]+Table_1[[#This Row],[Column4]]</f>
        <v>1</v>
      </c>
      <c r="I779" s="38">
        <v>2850000</v>
      </c>
      <c r="J779" s="34">
        <f>+'PACC GENERAL 2026'!$H779*'PACC GENERAL 2026'!$I779</f>
        <v>2850000</v>
      </c>
      <c r="K779" s="35"/>
      <c r="L779" s="31"/>
      <c r="M779" s="31"/>
      <c r="N779" s="32"/>
      <c r="O779" s="326" t="s">
        <v>1038</v>
      </c>
      <c r="P779" s="320"/>
    </row>
    <row r="780" spans="1:16" s="97" customFormat="1" ht="15.5">
      <c r="A780" s="48" t="s">
        <v>26</v>
      </c>
      <c r="B780" s="48" t="s">
        <v>826</v>
      </c>
      <c r="C780" s="32" t="s">
        <v>94</v>
      </c>
      <c r="D780" s="155">
        <v>1</v>
      </c>
      <c r="E780" s="231"/>
      <c r="F780" s="157"/>
      <c r="G780" s="133"/>
      <c r="H780" s="67">
        <f>+Table_1[[#This Row],[Column7]]+Table_1[[#This Row],[Column6]]+Table_1[[#This Row],[Column5]]+Table_1[[#This Row],[Column4]]</f>
        <v>1</v>
      </c>
      <c r="I780" s="38">
        <v>2200000</v>
      </c>
      <c r="J780" s="34">
        <f>+'PACC GENERAL 2026'!$H780*'PACC GENERAL 2026'!$I780</f>
        <v>2200000</v>
      </c>
      <c r="K780" s="35"/>
      <c r="L780" s="31"/>
      <c r="M780" s="31"/>
      <c r="N780" s="32"/>
      <c r="O780" s="326" t="s">
        <v>1038</v>
      </c>
      <c r="P780" s="320"/>
    </row>
    <row r="781" spans="1:16" s="97" customFormat="1" ht="15.5">
      <c r="A781" s="31" t="s">
        <v>26</v>
      </c>
      <c r="B781" s="31" t="s">
        <v>781</v>
      </c>
      <c r="C781" s="32" t="s">
        <v>94</v>
      </c>
      <c r="D781" s="133"/>
      <c r="E781" s="137"/>
      <c r="F781" s="137">
        <f>18+2</f>
        <v>20</v>
      </c>
      <c r="G781" s="133"/>
      <c r="H781" s="67">
        <f>+Table_1[[#This Row],[Column7]]+Table_1[[#This Row],[Column6]]+Table_1[[#This Row],[Column5]]+Table_1[[#This Row],[Column4]]</f>
        <v>20</v>
      </c>
      <c r="I781" s="38">
        <v>73780</v>
      </c>
      <c r="J781" s="34">
        <f>+'PACC GENERAL 2026'!$H781*'PACC GENERAL 2026'!$I781</f>
        <v>1475600</v>
      </c>
      <c r="K781" s="35"/>
      <c r="L781" s="31"/>
      <c r="M781" s="31"/>
      <c r="N781" s="32"/>
      <c r="O781" s="32" t="s">
        <v>1675</v>
      </c>
    </row>
    <row r="782" spans="1:16" s="97" customFormat="1" ht="15.5">
      <c r="A782" s="31" t="s">
        <v>26</v>
      </c>
      <c r="B782" s="31" t="s">
        <v>782</v>
      </c>
      <c r="C782" s="32" t="s">
        <v>94</v>
      </c>
      <c r="D782" s="133"/>
      <c r="E782" s="137"/>
      <c r="F782" s="137">
        <v>18</v>
      </c>
      <c r="G782" s="133"/>
      <c r="H782" s="67">
        <f>+Table_1[[#This Row],[Column7]]+Table_1[[#This Row],[Column6]]+Table_1[[#This Row],[Column5]]+Table_1[[#This Row],[Column4]]</f>
        <v>18</v>
      </c>
      <c r="I782" s="38">
        <v>79768</v>
      </c>
      <c r="J782" s="34">
        <f>+'PACC GENERAL 2026'!$H782*'PACC GENERAL 2026'!$I782</f>
        <v>1435824</v>
      </c>
      <c r="K782" s="35"/>
      <c r="L782" s="31"/>
      <c r="M782" s="31"/>
      <c r="N782" s="32"/>
      <c r="O782" s="32" t="s">
        <v>1224</v>
      </c>
    </row>
    <row r="783" spans="1:16" s="97" customFormat="1" ht="15.5">
      <c r="A783" s="31" t="s">
        <v>26</v>
      </c>
      <c r="B783" s="31" t="s">
        <v>783</v>
      </c>
      <c r="C783" s="32" t="s">
        <v>94</v>
      </c>
      <c r="D783" s="133"/>
      <c r="E783" s="137"/>
      <c r="F783" s="137">
        <v>18</v>
      </c>
      <c r="G783" s="133"/>
      <c r="H783" s="67">
        <f>+Table_1[[#This Row],[Column7]]+Table_1[[#This Row],[Column6]]+Table_1[[#This Row],[Column5]]+Table_1[[#This Row],[Column4]]</f>
        <v>18</v>
      </c>
      <c r="I783" s="38">
        <v>59295</v>
      </c>
      <c r="J783" s="34">
        <f>+'PACC GENERAL 2026'!$H783*'PACC GENERAL 2026'!$I783</f>
        <v>1067310</v>
      </c>
      <c r="K783" s="35"/>
      <c r="L783" s="31"/>
      <c r="M783" s="31"/>
      <c r="N783" s="31"/>
      <c r="O783" s="32" t="s">
        <v>1224</v>
      </c>
    </row>
    <row r="784" spans="1:16" s="97" customFormat="1" ht="15.5">
      <c r="A784" s="31" t="s">
        <v>26</v>
      </c>
      <c r="B784" s="66" t="s">
        <v>784</v>
      </c>
      <c r="C784" s="32" t="s">
        <v>94</v>
      </c>
      <c r="D784" s="137"/>
      <c r="E784" s="137"/>
      <c r="F784" s="137">
        <v>5</v>
      </c>
      <c r="G784" s="133"/>
      <c r="H784" s="67">
        <f>+Table_1[[#This Row],[Column7]]+Table_1[[#This Row],[Column6]]+Table_1[[#This Row],[Column5]]+Table_1[[#This Row],[Column4]]</f>
        <v>5</v>
      </c>
      <c r="I784" s="125">
        <v>102891</v>
      </c>
      <c r="J784" s="34">
        <f>+'PACC GENERAL 2026'!$H784*'PACC GENERAL 2026'!$I784</f>
        <v>514455</v>
      </c>
      <c r="K784" s="35"/>
      <c r="L784" s="31"/>
      <c r="M784" s="31"/>
      <c r="N784" s="32"/>
      <c r="O784" s="32" t="s">
        <v>1224</v>
      </c>
      <c r="P784" s="320"/>
    </row>
    <row r="785" spans="1:16" s="97" customFormat="1" ht="15.5">
      <c r="A785" s="31" t="s">
        <v>26</v>
      </c>
      <c r="B785" s="66" t="s">
        <v>785</v>
      </c>
      <c r="C785" s="32" t="s">
        <v>94</v>
      </c>
      <c r="D785" s="137"/>
      <c r="E785" s="137"/>
      <c r="F785" s="137">
        <v>9</v>
      </c>
      <c r="G785" s="133"/>
      <c r="H785" s="67">
        <f>+Table_1[[#This Row],[Column7]]+Table_1[[#This Row],[Column6]]+Table_1[[#This Row],[Column5]]+Table_1[[#This Row],[Column4]]</f>
        <v>9</v>
      </c>
      <c r="I785" s="125">
        <v>475000</v>
      </c>
      <c r="J785" s="34">
        <f>+'PACC GENERAL 2026'!$H785*'PACC GENERAL 2026'!$I785</f>
        <v>4275000</v>
      </c>
      <c r="K785" s="35"/>
      <c r="L785" s="31"/>
      <c r="M785" s="31"/>
      <c r="N785" s="32"/>
      <c r="O785" s="32" t="s">
        <v>1224</v>
      </c>
      <c r="P785" s="320"/>
    </row>
    <row r="786" spans="1:16" s="97" customFormat="1" ht="15.5">
      <c r="A786" s="31" t="s">
        <v>26</v>
      </c>
      <c r="B786" s="66" t="s">
        <v>786</v>
      </c>
      <c r="C786" s="32" t="s">
        <v>94</v>
      </c>
      <c r="D786" s="137"/>
      <c r="E786" s="137"/>
      <c r="F786" s="137">
        <v>8</v>
      </c>
      <c r="G786" s="133"/>
      <c r="H786" s="67">
        <f>+Table_1[[#This Row],[Column7]]+Table_1[[#This Row],[Column6]]+Table_1[[#This Row],[Column5]]+Table_1[[#This Row],[Column4]]</f>
        <v>8</v>
      </c>
      <c r="I786" s="125">
        <v>1050000</v>
      </c>
      <c r="J786" s="34">
        <f>+'PACC GENERAL 2026'!$H786*'PACC GENERAL 2026'!$I786</f>
        <v>8400000</v>
      </c>
      <c r="K786" s="35"/>
      <c r="L786" s="31"/>
      <c r="M786" s="31"/>
      <c r="N786" s="32"/>
      <c r="O786" s="32" t="s">
        <v>1224</v>
      </c>
      <c r="P786" s="320"/>
    </row>
    <row r="787" spans="1:16" s="97" customFormat="1" ht="15.5">
      <c r="A787" s="31" t="s">
        <v>26</v>
      </c>
      <c r="B787" s="66" t="s">
        <v>787</v>
      </c>
      <c r="C787" s="32" t="s">
        <v>94</v>
      </c>
      <c r="D787" s="137"/>
      <c r="E787" s="137"/>
      <c r="F787" s="137">
        <v>9</v>
      </c>
      <c r="G787" s="133"/>
      <c r="H787" s="67">
        <f>+Table_1[[#This Row],[Column7]]+Table_1[[#This Row],[Column6]]+Table_1[[#This Row],[Column5]]+Table_1[[#This Row],[Column4]]</f>
        <v>9</v>
      </c>
      <c r="I787" s="125">
        <v>850000</v>
      </c>
      <c r="J787" s="34">
        <f>+'PACC GENERAL 2026'!$H787*'PACC GENERAL 2026'!$I787</f>
        <v>7650000</v>
      </c>
      <c r="K787" s="35"/>
      <c r="L787" s="31"/>
      <c r="M787" s="174"/>
      <c r="N787" s="179"/>
      <c r="O787" s="32" t="s">
        <v>1224</v>
      </c>
      <c r="P787" s="320"/>
    </row>
    <row r="788" spans="1:16" s="97" customFormat="1" ht="15.5">
      <c r="A788" s="31" t="s">
        <v>26</v>
      </c>
      <c r="B788" s="31" t="s">
        <v>393</v>
      </c>
      <c r="C788" s="32" t="s">
        <v>94</v>
      </c>
      <c r="D788" s="137"/>
      <c r="E788" s="137"/>
      <c r="F788" s="137">
        <f>15+1</f>
        <v>16</v>
      </c>
      <c r="G788" s="133"/>
      <c r="H788" s="67">
        <f>+Table_1[[#This Row],[Column7]]+Table_1[[#This Row],[Column6]]+Table_1[[#This Row],[Column5]]+Table_1[[#This Row],[Column4]]</f>
        <v>16</v>
      </c>
      <c r="I788" s="38">
        <v>45300</v>
      </c>
      <c r="J788" s="34">
        <f>+'PACC GENERAL 2026'!$H788*'PACC GENERAL 2026'!$I788</f>
        <v>724800</v>
      </c>
      <c r="K788" s="35"/>
      <c r="L788" s="31"/>
      <c r="M788" s="31"/>
      <c r="N788" s="32"/>
      <c r="O788" s="32" t="s">
        <v>1676</v>
      </c>
      <c r="P788" s="320"/>
    </row>
    <row r="789" spans="1:16" s="97" customFormat="1" ht="15.5">
      <c r="A789" s="31" t="s">
        <v>26</v>
      </c>
      <c r="B789" s="31" t="s">
        <v>1302</v>
      </c>
      <c r="C789" s="32" t="s">
        <v>93</v>
      </c>
      <c r="D789" s="137"/>
      <c r="E789" s="137"/>
      <c r="F789" s="137">
        <v>6</v>
      </c>
      <c r="G789" s="133"/>
      <c r="H789" s="67">
        <f>+Table_1[[#This Row],[Column7]]+Table_1[[#This Row],[Column6]]+Table_1[[#This Row],[Column5]]+Table_1[[#This Row],[Column4]]</f>
        <v>6</v>
      </c>
      <c r="I789" s="38">
        <v>60000</v>
      </c>
      <c r="J789" s="34">
        <f>+'PACC GENERAL 2026'!$H789*'PACC GENERAL 2026'!$I789</f>
        <v>360000</v>
      </c>
      <c r="K789" s="35"/>
      <c r="L789" s="31"/>
      <c r="M789" s="31"/>
      <c r="N789" s="32"/>
      <c r="O789" s="32" t="s">
        <v>1224</v>
      </c>
      <c r="P789" s="320"/>
    </row>
    <row r="790" spans="1:16" ht="15.75" customHeight="1">
      <c r="A790" s="9" t="s">
        <v>26</v>
      </c>
      <c r="B790" s="10" t="s">
        <v>117</v>
      </c>
      <c r="C790" s="10"/>
      <c r="D790" s="152"/>
      <c r="E790" s="152"/>
      <c r="F790" s="152"/>
      <c r="G790" s="152"/>
      <c r="H790" s="111"/>
      <c r="I790" s="44"/>
      <c r="J790" s="12"/>
      <c r="K790" s="13">
        <f>SUM(J754:J789)</f>
        <v>86038989</v>
      </c>
      <c r="L790" s="10"/>
      <c r="M790" s="10"/>
      <c r="N790" s="10"/>
      <c r="O790" s="73"/>
    </row>
    <row r="791" spans="1:16" ht="15.75" customHeight="1">
      <c r="A791" s="31" t="s">
        <v>382</v>
      </c>
      <c r="B791" s="31" t="s">
        <v>503</v>
      </c>
      <c r="C791" s="276" t="s">
        <v>199</v>
      </c>
      <c r="D791" s="149"/>
      <c r="E791" s="234">
        <v>4</v>
      </c>
      <c r="F791" s="232"/>
      <c r="G791" s="232"/>
      <c r="H791" s="67">
        <f>+Table_1[[#This Row],[Column7]]+Table_1[[#This Row],[Column6]]+Table_1[[#This Row],[Column5]]+Table_1[[#This Row],[Column4]]</f>
        <v>4</v>
      </c>
      <c r="I791" s="233">
        <v>3000</v>
      </c>
      <c r="J791" s="34">
        <f>'PACC GENERAL 2026'!$I791*'PACC GENERAL 2026'!$H791</f>
        <v>12000</v>
      </c>
      <c r="K791" s="17"/>
      <c r="L791" s="16"/>
      <c r="M791" s="16"/>
      <c r="N791" s="16"/>
      <c r="O791" s="276" t="s">
        <v>414</v>
      </c>
      <c r="P791" s="319"/>
    </row>
    <row r="792" spans="1:16" s="371" customFormat="1" ht="15.75" customHeight="1">
      <c r="A792" s="31" t="s">
        <v>382</v>
      </c>
      <c r="B792" s="31" t="s">
        <v>1564</v>
      </c>
      <c r="C792" s="370" t="s">
        <v>94</v>
      </c>
      <c r="D792" s="149"/>
      <c r="E792" s="234">
        <v>150</v>
      </c>
      <c r="F792" s="232"/>
      <c r="G792" s="232"/>
      <c r="H792" s="67">
        <f>+Table_1[[#This Row],[Column7]]+Table_1[[#This Row],[Column6]]+Table_1[[#This Row],[Column5]]+Table_1[[#This Row],[Column4]]</f>
        <v>150</v>
      </c>
      <c r="I792" s="43">
        <v>900</v>
      </c>
      <c r="J792" s="34">
        <f>'PACC GENERAL 2026'!$I792*'PACC GENERAL 2026'!$H792</f>
        <v>135000</v>
      </c>
      <c r="K792" s="17"/>
      <c r="L792" s="16"/>
      <c r="M792" s="16"/>
      <c r="N792" s="16"/>
      <c r="O792" s="370"/>
      <c r="P792" s="324"/>
    </row>
    <row r="793" spans="1:16" s="371" customFormat="1" ht="15.75" customHeight="1">
      <c r="A793" s="31" t="s">
        <v>382</v>
      </c>
      <c r="B793" s="31" t="s">
        <v>1565</v>
      </c>
      <c r="C793" s="370" t="s">
        <v>94</v>
      </c>
      <c r="D793" s="149"/>
      <c r="E793" s="234">
        <v>75</v>
      </c>
      <c r="F793" s="232"/>
      <c r="G793" s="232"/>
      <c r="H793" s="67">
        <f>+Table_1[[#This Row],[Column7]]+Table_1[[#This Row],[Column6]]+Table_1[[#This Row],[Column5]]+Table_1[[#This Row],[Column4]]</f>
        <v>75</v>
      </c>
      <c r="I793" s="43">
        <v>900</v>
      </c>
      <c r="J793" s="34">
        <f>'PACC GENERAL 2026'!$I793*'PACC GENERAL 2026'!$H793</f>
        <v>67500</v>
      </c>
      <c r="K793" s="17"/>
      <c r="L793" s="16"/>
      <c r="M793" s="16"/>
      <c r="N793" s="16"/>
      <c r="O793" s="370"/>
      <c r="P793" s="324"/>
    </row>
    <row r="794" spans="1:16" s="371" customFormat="1" ht="15.75" customHeight="1">
      <c r="A794" s="31" t="s">
        <v>382</v>
      </c>
      <c r="B794" s="31" t="s">
        <v>1566</v>
      </c>
      <c r="C794" s="370" t="s">
        <v>94</v>
      </c>
      <c r="D794" s="149"/>
      <c r="E794" s="234">
        <v>75</v>
      </c>
      <c r="F794" s="232"/>
      <c r="G794" s="232"/>
      <c r="H794" s="67">
        <f>+Table_1[[#This Row],[Column7]]+Table_1[[#This Row],[Column6]]+Table_1[[#This Row],[Column5]]+Table_1[[#This Row],[Column4]]</f>
        <v>75</v>
      </c>
      <c r="I794" s="43">
        <v>1200</v>
      </c>
      <c r="J794" s="34">
        <f>'PACC GENERAL 2026'!$I794*'PACC GENERAL 2026'!$H794</f>
        <v>90000</v>
      </c>
      <c r="K794" s="17"/>
      <c r="L794" s="16"/>
      <c r="M794" s="16"/>
      <c r="N794" s="16"/>
      <c r="O794" s="370"/>
      <c r="P794" s="324"/>
    </row>
    <row r="795" spans="1:16" s="371" customFormat="1" ht="15.75" customHeight="1">
      <c r="A795" s="31" t="s">
        <v>382</v>
      </c>
      <c r="B795" s="31" t="s">
        <v>1567</v>
      </c>
      <c r="C795" s="370" t="s">
        <v>94</v>
      </c>
      <c r="D795" s="149"/>
      <c r="E795" s="234">
        <v>50</v>
      </c>
      <c r="F795" s="232"/>
      <c r="G795" s="232"/>
      <c r="H795" s="67">
        <f>+Table_1[[#This Row],[Column7]]+Table_1[[#This Row],[Column6]]+Table_1[[#This Row],[Column5]]+Table_1[[#This Row],[Column4]]</f>
        <v>50</v>
      </c>
      <c r="I795" s="43">
        <v>900</v>
      </c>
      <c r="J795" s="34">
        <f>'PACC GENERAL 2026'!$I795*'PACC GENERAL 2026'!$H795</f>
        <v>45000</v>
      </c>
      <c r="K795" s="17"/>
      <c r="L795" s="16"/>
      <c r="M795" s="16"/>
      <c r="N795" s="16"/>
      <c r="O795" s="370"/>
      <c r="P795" s="324"/>
    </row>
    <row r="796" spans="1:16" s="371" customFormat="1" ht="15.75" customHeight="1">
      <c r="A796" s="31" t="s">
        <v>382</v>
      </c>
      <c r="B796" s="31" t="s">
        <v>850</v>
      </c>
      <c r="C796" s="370" t="s">
        <v>94</v>
      </c>
      <c r="D796" s="149"/>
      <c r="E796" s="234">
        <v>50</v>
      </c>
      <c r="F796" s="232"/>
      <c r="G796" s="232"/>
      <c r="H796" s="67">
        <f>+Table_1[[#This Row],[Column7]]+Table_1[[#This Row],[Column6]]+Table_1[[#This Row],[Column5]]+Table_1[[#This Row],[Column4]]</f>
        <v>50</v>
      </c>
      <c r="I796" s="43">
        <v>900</v>
      </c>
      <c r="J796" s="34">
        <f>'PACC GENERAL 2026'!$I796*'PACC GENERAL 2026'!$H796</f>
        <v>45000</v>
      </c>
      <c r="K796" s="17"/>
      <c r="L796" s="16"/>
      <c r="M796" s="16"/>
      <c r="N796" s="16"/>
      <c r="O796" s="370"/>
      <c r="P796" s="324"/>
    </row>
    <row r="797" spans="1:16" s="371" customFormat="1" ht="15.75" customHeight="1">
      <c r="A797" s="31" t="s">
        <v>382</v>
      </c>
      <c r="B797" s="31" t="s">
        <v>851</v>
      </c>
      <c r="C797" s="370" t="s">
        <v>94</v>
      </c>
      <c r="D797" s="149"/>
      <c r="E797" s="234">
        <v>50</v>
      </c>
      <c r="F797" s="232"/>
      <c r="G797" s="232"/>
      <c r="H797" s="67">
        <f>+Table_1[[#This Row],[Column7]]+Table_1[[#This Row],[Column6]]+Table_1[[#This Row],[Column5]]+Table_1[[#This Row],[Column4]]</f>
        <v>50</v>
      </c>
      <c r="I797" s="43">
        <v>1200</v>
      </c>
      <c r="J797" s="34">
        <f>'PACC GENERAL 2026'!$I797*'PACC GENERAL 2026'!$H797</f>
        <v>60000</v>
      </c>
      <c r="K797" s="17"/>
      <c r="L797" s="16"/>
      <c r="M797" s="16"/>
      <c r="N797" s="16"/>
      <c r="O797" s="370"/>
      <c r="P797" s="324"/>
    </row>
    <row r="798" spans="1:16" s="371" customFormat="1" ht="15.75" customHeight="1">
      <c r="A798" s="31" t="s">
        <v>382</v>
      </c>
      <c r="B798" s="31" t="s">
        <v>852</v>
      </c>
      <c r="C798" s="370" t="s">
        <v>94</v>
      </c>
      <c r="D798" s="149"/>
      <c r="E798" s="234">
        <v>25</v>
      </c>
      <c r="F798" s="232"/>
      <c r="G798" s="232"/>
      <c r="H798" s="67">
        <f>+Table_1[[#This Row],[Column7]]+Table_1[[#This Row],[Column6]]+Table_1[[#This Row],[Column5]]+Table_1[[#This Row],[Column4]]</f>
        <v>25</v>
      </c>
      <c r="I798" s="43">
        <v>900</v>
      </c>
      <c r="J798" s="34">
        <f>'PACC GENERAL 2026'!$I798*'PACC GENERAL 2026'!$H798</f>
        <v>22500</v>
      </c>
      <c r="K798" s="17"/>
      <c r="L798" s="16"/>
      <c r="M798" s="16"/>
      <c r="N798" s="16"/>
      <c r="O798" s="370"/>
      <c r="P798" s="324"/>
    </row>
    <row r="799" spans="1:16" s="371" customFormat="1" ht="15.75" customHeight="1">
      <c r="A799" s="31" t="s">
        <v>382</v>
      </c>
      <c r="B799" s="31" t="s">
        <v>1568</v>
      </c>
      <c r="C799" s="370" t="s">
        <v>94</v>
      </c>
      <c r="D799" s="149"/>
      <c r="E799" s="234">
        <v>75</v>
      </c>
      <c r="F799" s="232"/>
      <c r="G799" s="232"/>
      <c r="H799" s="67">
        <f>+Table_1[[#This Row],[Column7]]+Table_1[[#This Row],[Column6]]+Table_1[[#This Row],[Column5]]+Table_1[[#This Row],[Column4]]</f>
        <v>75</v>
      </c>
      <c r="I799" s="43">
        <v>1300</v>
      </c>
      <c r="J799" s="34">
        <f>'PACC GENERAL 2026'!$I799*'PACC GENERAL 2026'!$H799</f>
        <v>97500</v>
      </c>
      <c r="K799" s="17"/>
      <c r="L799" s="16"/>
      <c r="M799" s="16"/>
      <c r="N799" s="16"/>
      <c r="O799" s="370"/>
      <c r="P799" s="324"/>
    </row>
    <row r="800" spans="1:16" s="371" customFormat="1" ht="15.75" customHeight="1">
      <c r="A800" s="31" t="s">
        <v>382</v>
      </c>
      <c r="B800" s="31" t="s">
        <v>1569</v>
      </c>
      <c r="C800" s="370" t="s">
        <v>94</v>
      </c>
      <c r="D800" s="149"/>
      <c r="E800" s="234">
        <v>75</v>
      </c>
      <c r="F800" s="232"/>
      <c r="G800" s="232"/>
      <c r="H800" s="67">
        <f>+Table_1[[#This Row],[Column7]]+Table_1[[#This Row],[Column6]]+Table_1[[#This Row],[Column5]]+Table_1[[#This Row],[Column4]]</f>
        <v>75</v>
      </c>
      <c r="I800" s="43">
        <v>1200</v>
      </c>
      <c r="J800" s="34">
        <f>'PACC GENERAL 2026'!$I800*'PACC GENERAL 2026'!$H800</f>
        <v>90000</v>
      </c>
      <c r="K800" s="17"/>
      <c r="L800" s="16"/>
      <c r="M800" s="16"/>
      <c r="N800" s="16"/>
      <c r="O800" s="370"/>
      <c r="P800" s="324"/>
    </row>
    <row r="801" spans="1:16" s="371" customFormat="1" ht="15.75" customHeight="1">
      <c r="A801" s="31" t="s">
        <v>382</v>
      </c>
      <c r="B801" s="31" t="s">
        <v>1570</v>
      </c>
      <c r="C801" s="370" t="s">
        <v>94</v>
      </c>
      <c r="D801" s="149"/>
      <c r="E801" s="234">
        <v>20</v>
      </c>
      <c r="F801" s="232"/>
      <c r="G801" s="232"/>
      <c r="H801" s="67">
        <f>+Table_1[[#This Row],[Column7]]+Table_1[[#This Row],[Column6]]+Table_1[[#This Row],[Column5]]+Table_1[[#This Row],[Column4]]</f>
        <v>20</v>
      </c>
      <c r="I801" s="43">
        <v>1000</v>
      </c>
      <c r="J801" s="34">
        <f>'PACC GENERAL 2026'!$I801*'PACC GENERAL 2026'!$H801</f>
        <v>20000</v>
      </c>
      <c r="K801" s="17"/>
      <c r="L801" s="16"/>
      <c r="M801" s="16"/>
      <c r="N801" s="16"/>
      <c r="O801" s="370"/>
      <c r="P801" s="324"/>
    </row>
    <row r="802" spans="1:16" s="371" customFormat="1" ht="15.75" customHeight="1">
      <c r="A802" s="31" t="s">
        <v>382</v>
      </c>
      <c r="B802" s="31" t="s">
        <v>1571</v>
      </c>
      <c r="C802" s="370" t="s">
        <v>94</v>
      </c>
      <c r="D802" s="149"/>
      <c r="E802" s="234">
        <v>250</v>
      </c>
      <c r="F802" s="232"/>
      <c r="G802" s="232"/>
      <c r="H802" s="67">
        <f>+Table_1[[#This Row],[Column7]]+Table_1[[#This Row],[Column6]]+Table_1[[#This Row],[Column5]]+Table_1[[#This Row],[Column4]]</f>
        <v>250</v>
      </c>
      <c r="I802" s="43">
        <v>900</v>
      </c>
      <c r="J802" s="34">
        <f>'PACC GENERAL 2026'!$I802*'PACC GENERAL 2026'!$H802</f>
        <v>225000</v>
      </c>
      <c r="K802" s="17"/>
      <c r="L802" s="16"/>
      <c r="M802" s="16"/>
      <c r="N802" s="16"/>
      <c r="O802" s="370"/>
      <c r="P802" s="324"/>
    </row>
    <row r="803" spans="1:16" s="371" customFormat="1" ht="15.75" customHeight="1">
      <c r="A803" s="31" t="s">
        <v>382</v>
      </c>
      <c r="B803" s="31" t="s">
        <v>1572</v>
      </c>
      <c r="C803" s="370" t="s">
        <v>94</v>
      </c>
      <c r="D803" s="149"/>
      <c r="E803" s="234">
        <v>100</v>
      </c>
      <c r="F803" s="232"/>
      <c r="G803" s="232"/>
      <c r="H803" s="67">
        <f>+Table_1[[#This Row],[Column7]]+Table_1[[#This Row],[Column6]]+Table_1[[#This Row],[Column5]]+Table_1[[#This Row],[Column4]]</f>
        <v>100</v>
      </c>
      <c r="I803" s="43">
        <v>900</v>
      </c>
      <c r="J803" s="34">
        <f>'PACC GENERAL 2026'!$I803*'PACC GENERAL 2026'!$H803</f>
        <v>90000</v>
      </c>
      <c r="K803" s="17"/>
      <c r="L803" s="16"/>
      <c r="M803" s="16"/>
      <c r="N803" s="16"/>
      <c r="O803" s="370"/>
      <c r="P803" s="324"/>
    </row>
    <row r="804" spans="1:16" s="371" customFormat="1" ht="15.75" customHeight="1">
      <c r="A804" s="31" t="s">
        <v>382</v>
      </c>
      <c r="B804" s="31" t="s">
        <v>1573</v>
      </c>
      <c r="C804" s="370" t="s">
        <v>94</v>
      </c>
      <c r="D804" s="149"/>
      <c r="E804" s="234">
        <v>100</v>
      </c>
      <c r="F804" s="232"/>
      <c r="G804" s="232"/>
      <c r="H804" s="67">
        <f>+Table_1[[#This Row],[Column7]]+Table_1[[#This Row],[Column6]]+Table_1[[#This Row],[Column5]]+Table_1[[#This Row],[Column4]]</f>
        <v>100</v>
      </c>
      <c r="I804" s="43">
        <v>1200</v>
      </c>
      <c r="J804" s="34">
        <f>'PACC GENERAL 2026'!$I804*'PACC GENERAL 2026'!$H804</f>
        <v>120000</v>
      </c>
      <c r="K804" s="17"/>
      <c r="L804" s="16"/>
      <c r="M804" s="16"/>
      <c r="N804" s="16"/>
      <c r="O804" s="370"/>
      <c r="P804" s="324"/>
    </row>
    <row r="805" spans="1:16" s="371" customFormat="1" ht="15.75" customHeight="1">
      <c r="A805" s="31" t="s">
        <v>382</v>
      </c>
      <c r="B805" s="31" t="s">
        <v>1574</v>
      </c>
      <c r="C805" s="370" t="s">
        <v>94</v>
      </c>
      <c r="D805" s="149"/>
      <c r="E805" s="234">
        <v>75</v>
      </c>
      <c r="F805" s="232"/>
      <c r="G805" s="232"/>
      <c r="H805" s="67">
        <f>+Table_1[[#This Row],[Column7]]+Table_1[[#This Row],[Column6]]+Table_1[[#This Row],[Column5]]+Table_1[[#This Row],[Column4]]</f>
        <v>75</v>
      </c>
      <c r="I805" s="43">
        <v>900</v>
      </c>
      <c r="J805" s="34">
        <f>'PACC GENERAL 2026'!$I805*'PACC GENERAL 2026'!$H805</f>
        <v>67500</v>
      </c>
      <c r="K805" s="17"/>
      <c r="L805" s="16"/>
      <c r="M805" s="16"/>
      <c r="N805" s="16"/>
      <c r="O805" s="370"/>
      <c r="P805" s="324"/>
    </row>
    <row r="806" spans="1:16" s="371" customFormat="1" ht="15.75" customHeight="1">
      <c r="A806" s="31" t="s">
        <v>382</v>
      </c>
      <c r="B806" s="31" t="s">
        <v>1575</v>
      </c>
      <c r="C806" s="370" t="s">
        <v>94</v>
      </c>
      <c r="D806" s="149"/>
      <c r="E806" s="234">
        <v>75</v>
      </c>
      <c r="F806" s="232"/>
      <c r="G806" s="232"/>
      <c r="H806" s="67">
        <f>+Table_1[[#This Row],[Column7]]+Table_1[[#This Row],[Column6]]+Table_1[[#This Row],[Column5]]+Table_1[[#This Row],[Column4]]</f>
        <v>75</v>
      </c>
      <c r="I806" s="43">
        <v>900</v>
      </c>
      <c r="J806" s="34">
        <f>'PACC GENERAL 2026'!$I806*'PACC GENERAL 2026'!$H806</f>
        <v>67500</v>
      </c>
      <c r="K806" s="17"/>
      <c r="L806" s="16"/>
      <c r="M806" s="16"/>
      <c r="N806" s="16"/>
      <c r="O806" s="370"/>
      <c r="P806" s="324"/>
    </row>
    <row r="807" spans="1:16" s="371" customFormat="1" ht="15.75" customHeight="1">
      <c r="A807" s="31" t="s">
        <v>382</v>
      </c>
      <c r="B807" s="31" t="s">
        <v>1576</v>
      </c>
      <c r="C807" s="370" t="s">
        <v>94</v>
      </c>
      <c r="D807" s="149"/>
      <c r="E807" s="234">
        <v>100</v>
      </c>
      <c r="F807" s="232"/>
      <c r="G807" s="232"/>
      <c r="H807" s="67">
        <f>+Table_1[[#This Row],[Column7]]+Table_1[[#This Row],[Column6]]+Table_1[[#This Row],[Column5]]+Table_1[[#This Row],[Column4]]</f>
        <v>100</v>
      </c>
      <c r="I807" s="43">
        <v>900</v>
      </c>
      <c r="J807" s="34">
        <f>'PACC GENERAL 2026'!$I807*'PACC GENERAL 2026'!$H807</f>
        <v>90000</v>
      </c>
      <c r="K807" s="17"/>
      <c r="L807" s="16"/>
      <c r="M807" s="16"/>
      <c r="N807" s="16"/>
      <c r="O807" s="370"/>
      <c r="P807" s="324"/>
    </row>
    <row r="808" spans="1:16" s="371" customFormat="1" ht="15.75" customHeight="1">
      <c r="A808" s="31" t="s">
        <v>382</v>
      </c>
      <c r="B808" s="31" t="s">
        <v>1577</v>
      </c>
      <c r="C808" s="370" t="s">
        <v>94</v>
      </c>
      <c r="D808" s="149"/>
      <c r="E808" s="234">
        <v>5</v>
      </c>
      <c r="F808" s="232"/>
      <c r="G808" s="232"/>
      <c r="H808" s="67">
        <f>+Table_1[[#This Row],[Column7]]+Table_1[[#This Row],[Column6]]+Table_1[[#This Row],[Column5]]+Table_1[[#This Row],[Column4]]</f>
        <v>5</v>
      </c>
      <c r="I808" s="43">
        <v>900</v>
      </c>
      <c r="J808" s="34">
        <f>'PACC GENERAL 2026'!$I808*'PACC GENERAL 2026'!$H808</f>
        <v>4500</v>
      </c>
      <c r="K808" s="17"/>
      <c r="L808" s="16"/>
      <c r="M808" s="16"/>
      <c r="N808" s="16"/>
      <c r="O808" s="370"/>
      <c r="P808" s="324"/>
    </row>
    <row r="809" spans="1:16" s="371" customFormat="1" ht="15.75" customHeight="1">
      <c r="A809" s="31" t="s">
        <v>382</v>
      </c>
      <c r="B809" s="31" t="s">
        <v>1578</v>
      </c>
      <c r="C809" s="370" t="s">
        <v>94</v>
      </c>
      <c r="D809" s="149"/>
      <c r="E809" s="234">
        <v>5</v>
      </c>
      <c r="F809" s="232"/>
      <c r="G809" s="232"/>
      <c r="H809" s="67">
        <f>+Table_1[[#This Row],[Column7]]+Table_1[[#This Row],[Column6]]+Table_1[[#This Row],[Column5]]+Table_1[[#This Row],[Column4]]</f>
        <v>5</v>
      </c>
      <c r="I809" s="43">
        <v>1100</v>
      </c>
      <c r="J809" s="34">
        <f>'PACC GENERAL 2026'!$I809*'PACC GENERAL 2026'!$H809</f>
        <v>5500</v>
      </c>
      <c r="K809" s="17"/>
      <c r="L809" s="16"/>
      <c r="M809" s="16"/>
      <c r="N809" s="16"/>
      <c r="O809" s="370"/>
      <c r="P809" s="324"/>
    </row>
    <row r="810" spans="1:16" s="371" customFormat="1" ht="15.75" customHeight="1">
      <c r="A810" s="31" t="s">
        <v>382</v>
      </c>
      <c r="B810" s="31" t="s">
        <v>1579</v>
      </c>
      <c r="C810" s="370" t="s">
        <v>94</v>
      </c>
      <c r="D810" s="149"/>
      <c r="E810" s="234">
        <v>5</v>
      </c>
      <c r="F810" s="232"/>
      <c r="G810" s="232"/>
      <c r="H810" s="67">
        <f>+Table_1[[#This Row],[Column7]]+Table_1[[#This Row],[Column6]]+Table_1[[#This Row],[Column5]]+Table_1[[#This Row],[Column4]]</f>
        <v>5</v>
      </c>
      <c r="I810" s="43">
        <v>1100</v>
      </c>
      <c r="J810" s="34">
        <f>'PACC GENERAL 2026'!$I810*'PACC GENERAL 2026'!$H810</f>
        <v>5500</v>
      </c>
      <c r="K810" s="17"/>
      <c r="L810" s="16"/>
      <c r="M810" s="16"/>
      <c r="N810" s="16"/>
      <c r="O810" s="370"/>
      <c r="P810" s="324"/>
    </row>
    <row r="811" spans="1:16" s="371" customFormat="1" ht="15.75" customHeight="1">
      <c r="A811" s="31" t="s">
        <v>382</v>
      </c>
      <c r="B811" s="31" t="s">
        <v>1580</v>
      </c>
      <c r="C811" s="370" t="s">
        <v>94</v>
      </c>
      <c r="D811" s="149"/>
      <c r="E811" s="234">
        <v>5</v>
      </c>
      <c r="F811" s="232"/>
      <c r="G811" s="232"/>
      <c r="H811" s="67">
        <f>+Table_1[[#This Row],[Column7]]+Table_1[[#This Row],[Column6]]+Table_1[[#This Row],[Column5]]+Table_1[[#This Row],[Column4]]</f>
        <v>5</v>
      </c>
      <c r="I811" s="43">
        <v>1100</v>
      </c>
      <c r="J811" s="34">
        <f>'PACC GENERAL 2026'!$I811*'PACC GENERAL 2026'!$H811</f>
        <v>5500</v>
      </c>
      <c r="K811" s="17"/>
      <c r="L811" s="16"/>
      <c r="M811" s="16"/>
      <c r="N811" s="16"/>
      <c r="O811" s="370"/>
      <c r="P811" s="324"/>
    </row>
    <row r="812" spans="1:16" s="371" customFormat="1" ht="15.75" customHeight="1">
      <c r="A812" s="31" t="s">
        <v>382</v>
      </c>
      <c r="B812" s="31" t="s">
        <v>1581</v>
      </c>
      <c r="C812" s="370" t="s">
        <v>94</v>
      </c>
      <c r="D812" s="149"/>
      <c r="E812" s="234">
        <v>125</v>
      </c>
      <c r="F812" s="232"/>
      <c r="G812" s="232"/>
      <c r="H812" s="67">
        <f>+Table_1[[#This Row],[Column7]]+Table_1[[#This Row],[Column6]]+Table_1[[#This Row],[Column5]]+Table_1[[#This Row],[Column4]]</f>
        <v>125</v>
      </c>
      <c r="I812" s="43">
        <v>900</v>
      </c>
      <c r="J812" s="34">
        <f>'PACC GENERAL 2026'!$I812*'PACC GENERAL 2026'!$H812</f>
        <v>112500</v>
      </c>
      <c r="K812" s="17"/>
      <c r="L812" s="16"/>
      <c r="M812" s="16"/>
      <c r="N812" s="16"/>
      <c r="O812" s="370"/>
      <c r="P812" s="324"/>
    </row>
    <row r="813" spans="1:16" s="371" customFormat="1" ht="15.75" customHeight="1">
      <c r="A813" s="31" t="s">
        <v>382</v>
      </c>
      <c r="B813" s="31" t="s">
        <v>1582</v>
      </c>
      <c r="C813" s="370" t="s">
        <v>94</v>
      </c>
      <c r="D813" s="149"/>
      <c r="E813" s="234">
        <v>75</v>
      </c>
      <c r="F813" s="232"/>
      <c r="G813" s="232"/>
      <c r="H813" s="67">
        <f>+Table_1[[#This Row],[Column7]]+Table_1[[#This Row],[Column6]]+Table_1[[#This Row],[Column5]]+Table_1[[#This Row],[Column4]]</f>
        <v>75</v>
      </c>
      <c r="I813" s="43">
        <v>900</v>
      </c>
      <c r="J813" s="34">
        <f>'PACC GENERAL 2026'!$I813*'PACC GENERAL 2026'!$H813</f>
        <v>67500</v>
      </c>
      <c r="K813" s="17"/>
      <c r="L813" s="16"/>
      <c r="M813" s="16"/>
      <c r="N813" s="16"/>
      <c r="O813" s="370"/>
      <c r="P813" s="324"/>
    </row>
    <row r="814" spans="1:16" s="371" customFormat="1" ht="15.75" customHeight="1">
      <c r="A814" s="31" t="s">
        <v>382</v>
      </c>
      <c r="B814" s="31" t="s">
        <v>1583</v>
      </c>
      <c r="C814" s="370" t="s">
        <v>94</v>
      </c>
      <c r="D814" s="149"/>
      <c r="E814" s="234">
        <v>50</v>
      </c>
      <c r="F814" s="232"/>
      <c r="G814" s="232"/>
      <c r="H814" s="67">
        <f>+Table_1[[#This Row],[Column7]]+Table_1[[#This Row],[Column6]]+Table_1[[#This Row],[Column5]]+Table_1[[#This Row],[Column4]]</f>
        <v>50</v>
      </c>
      <c r="I814" s="43">
        <v>900</v>
      </c>
      <c r="J814" s="34">
        <f>'PACC GENERAL 2026'!$I814*'PACC GENERAL 2026'!$H814</f>
        <v>45000</v>
      </c>
      <c r="K814" s="17"/>
      <c r="L814" s="16"/>
      <c r="M814" s="16"/>
      <c r="N814" s="16"/>
      <c r="O814" s="370"/>
      <c r="P814" s="324"/>
    </row>
    <row r="815" spans="1:16" s="371" customFormat="1" ht="15.75" customHeight="1">
      <c r="A815" s="31" t="s">
        <v>382</v>
      </c>
      <c r="B815" s="31" t="s">
        <v>1584</v>
      </c>
      <c r="C815" s="370" t="s">
        <v>94</v>
      </c>
      <c r="D815" s="149"/>
      <c r="E815" s="234">
        <v>75</v>
      </c>
      <c r="F815" s="232"/>
      <c r="G815" s="232"/>
      <c r="H815" s="67">
        <f>+Table_1[[#This Row],[Column7]]+Table_1[[#This Row],[Column6]]+Table_1[[#This Row],[Column5]]+Table_1[[#This Row],[Column4]]</f>
        <v>75</v>
      </c>
      <c r="I815" s="43">
        <v>1400</v>
      </c>
      <c r="J815" s="34">
        <f>'PACC GENERAL 2026'!$I815*'PACC GENERAL 2026'!$H815</f>
        <v>105000</v>
      </c>
      <c r="K815" s="17"/>
      <c r="L815" s="16"/>
      <c r="M815" s="16"/>
      <c r="N815" s="16"/>
      <c r="O815" s="370"/>
      <c r="P815" s="324"/>
    </row>
    <row r="816" spans="1:16" s="371" customFormat="1" ht="15.75" customHeight="1">
      <c r="A816" s="31" t="s">
        <v>382</v>
      </c>
      <c r="B816" s="31" t="s">
        <v>1585</v>
      </c>
      <c r="C816" s="370" t="s">
        <v>94</v>
      </c>
      <c r="D816" s="149"/>
      <c r="E816" s="234">
        <v>20</v>
      </c>
      <c r="F816" s="232"/>
      <c r="G816" s="232"/>
      <c r="H816" s="67">
        <f>+Table_1[[#This Row],[Column7]]+Table_1[[#This Row],[Column6]]+Table_1[[#This Row],[Column5]]+Table_1[[#This Row],[Column4]]</f>
        <v>20</v>
      </c>
      <c r="I816" s="43">
        <v>1100</v>
      </c>
      <c r="J816" s="34">
        <f>'PACC GENERAL 2026'!$I816*'PACC GENERAL 2026'!$H816</f>
        <v>22000</v>
      </c>
      <c r="K816" s="17"/>
      <c r="L816" s="16"/>
      <c r="M816" s="16"/>
      <c r="N816" s="16"/>
      <c r="O816" s="370"/>
      <c r="P816" s="324"/>
    </row>
    <row r="817" spans="1:16" s="371" customFormat="1" ht="15.75" customHeight="1">
      <c r="A817" s="31" t="s">
        <v>382</v>
      </c>
      <c r="B817" s="31" t="s">
        <v>1586</v>
      </c>
      <c r="C817" s="370" t="s">
        <v>94</v>
      </c>
      <c r="D817" s="149"/>
      <c r="E817" s="234">
        <v>15</v>
      </c>
      <c r="F817" s="232"/>
      <c r="G817" s="232"/>
      <c r="H817" s="67">
        <f>+Table_1[[#This Row],[Column7]]+Table_1[[#This Row],[Column6]]+Table_1[[#This Row],[Column5]]+Table_1[[#This Row],[Column4]]</f>
        <v>15</v>
      </c>
      <c r="I817" s="43">
        <v>900</v>
      </c>
      <c r="J817" s="34">
        <f>'PACC GENERAL 2026'!$I817*'PACC GENERAL 2026'!$H817</f>
        <v>13500</v>
      </c>
      <c r="K817" s="17"/>
      <c r="L817" s="16"/>
      <c r="M817" s="16"/>
      <c r="N817" s="16"/>
      <c r="O817" s="370"/>
      <c r="P817" s="324"/>
    </row>
    <row r="818" spans="1:16" s="371" customFormat="1" ht="15.75" customHeight="1">
      <c r="A818" s="31" t="s">
        <v>382</v>
      </c>
      <c r="B818" s="31" t="s">
        <v>1587</v>
      </c>
      <c r="C818" s="370" t="s">
        <v>94</v>
      </c>
      <c r="D818" s="149"/>
      <c r="E818" s="234">
        <v>15</v>
      </c>
      <c r="F818" s="232"/>
      <c r="G818" s="232"/>
      <c r="H818" s="67">
        <f>+Table_1[[#This Row],[Column7]]+Table_1[[#This Row],[Column6]]+Table_1[[#This Row],[Column5]]+Table_1[[#This Row],[Column4]]</f>
        <v>15</v>
      </c>
      <c r="I818" s="43">
        <v>1200</v>
      </c>
      <c r="J818" s="34">
        <f>'PACC GENERAL 2026'!$I818*'PACC GENERAL 2026'!$H818</f>
        <v>18000</v>
      </c>
      <c r="K818" s="17"/>
      <c r="L818" s="16"/>
      <c r="M818" s="16"/>
      <c r="N818" s="16"/>
      <c r="O818" s="370"/>
      <c r="P818" s="324"/>
    </row>
    <row r="819" spans="1:16" s="371" customFormat="1" ht="15.75" customHeight="1">
      <c r="A819" s="31" t="s">
        <v>382</v>
      </c>
      <c r="B819" s="31" t="s">
        <v>1588</v>
      </c>
      <c r="C819" s="370" t="s">
        <v>94</v>
      </c>
      <c r="D819" s="149"/>
      <c r="E819" s="234">
        <v>10</v>
      </c>
      <c r="F819" s="232"/>
      <c r="G819" s="232"/>
      <c r="H819" s="67">
        <f>+Table_1[[#This Row],[Column7]]+Table_1[[#This Row],[Column6]]+Table_1[[#This Row],[Column5]]+Table_1[[#This Row],[Column4]]</f>
        <v>10</v>
      </c>
      <c r="I819" s="43">
        <v>900</v>
      </c>
      <c r="J819" s="34">
        <f>'PACC GENERAL 2026'!$I819*'PACC GENERAL 2026'!$H819</f>
        <v>9000</v>
      </c>
      <c r="K819" s="17"/>
      <c r="L819" s="16"/>
      <c r="M819" s="16"/>
      <c r="N819" s="16"/>
      <c r="O819" s="370"/>
      <c r="P819" s="324"/>
    </row>
    <row r="820" spans="1:16" s="371" customFormat="1" ht="15.75" customHeight="1">
      <c r="A820" s="31" t="s">
        <v>382</v>
      </c>
      <c r="B820" s="31" t="s">
        <v>1589</v>
      </c>
      <c r="C820" s="370" t="s">
        <v>94</v>
      </c>
      <c r="D820" s="149"/>
      <c r="E820" s="234">
        <v>10</v>
      </c>
      <c r="F820" s="232"/>
      <c r="G820" s="232"/>
      <c r="H820" s="67">
        <f>+Table_1[[#This Row],[Column7]]+Table_1[[#This Row],[Column6]]+Table_1[[#This Row],[Column5]]+Table_1[[#This Row],[Column4]]</f>
        <v>10</v>
      </c>
      <c r="I820" s="43">
        <v>900</v>
      </c>
      <c r="J820" s="34">
        <f>'PACC GENERAL 2026'!$I820*'PACC GENERAL 2026'!$H820</f>
        <v>9000</v>
      </c>
      <c r="K820" s="17"/>
      <c r="L820" s="16"/>
      <c r="M820" s="16"/>
      <c r="N820" s="16"/>
      <c r="O820" s="370"/>
      <c r="P820" s="324"/>
    </row>
    <row r="821" spans="1:16" s="371" customFormat="1" ht="15.75" customHeight="1">
      <c r="A821" s="31" t="s">
        <v>382</v>
      </c>
      <c r="B821" s="31" t="s">
        <v>1590</v>
      </c>
      <c r="C821" s="370" t="s">
        <v>94</v>
      </c>
      <c r="D821" s="149"/>
      <c r="E821" s="234">
        <v>10</v>
      </c>
      <c r="F821" s="232"/>
      <c r="G821" s="232"/>
      <c r="H821" s="67">
        <f>+Table_1[[#This Row],[Column7]]+Table_1[[#This Row],[Column6]]+Table_1[[#This Row],[Column5]]+Table_1[[#This Row],[Column4]]</f>
        <v>10</v>
      </c>
      <c r="I821" s="43">
        <v>1200</v>
      </c>
      <c r="J821" s="34">
        <f>'PACC GENERAL 2026'!$I821*'PACC GENERAL 2026'!$H821</f>
        <v>12000</v>
      </c>
      <c r="K821" s="17"/>
      <c r="L821" s="16"/>
      <c r="M821" s="16"/>
      <c r="N821" s="16"/>
      <c r="O821" s="370"/>
      <c r="P821" s="324"/>
    </row>
    <row r="822" spans="1:16" s="371" customFormat="1" ht="15.75" customHeight="1">
      <c r="A822" s="31" t="s">
        <v>382</v>
      </c>
      <c r="B822" s="31" t="s">
        <v>1591</v>
      </c>
      <c r="C822" s="370" t="s">
        <v>94</v>
      </c>
      <c r="D822" s="149"/>
      <c r="E822" s="234">
        <v>50</v>
      </c>
      <c r="F822" s="232"/>
      <c r="G822" s="232"/>
      <c r="H822" s="67">
        <f>+Table_1[[#This Row],[Column7]]+Table_1[[#This Row],[Column6]]+Table_1[[#This Row],[Column5]]+Table_1[[#This Row],[Column4]]</f>
        <v>50</v>
      </c>
      <c r="I822" s="43">
        <v>900</v>
      </c>
      <c r="J822" s="34">
        <f>'PACC GENERAL 2026'!$I822*'PACC GENERAL 2026'!$H822</f>
        <v>45000</v>
      </c>
      <c r="K822" s="17"/>
      <c r="L822" s="16"/>
      <c r="M822" s="16"/>
      <c r="N822" s="16"/>
      <c r="O822" s="370"/>
      <c r="P822" s="324"/>
    </row>
    <row r="823" spans="1:16" s="371" customFormat="1" ht="15.75" customHeight="1">
      <c r="A823" s="31" t="s">
        <v>382</v>
      </c>
      <c r="B823" s="31" t="s">
        <v>1592</v>
      </c>
      <c r="C823" s="370" t="s">
        <v>94</v>
      </c>
      <c r="D823" s="149"/>
      <c r="E823" s="234">
        <v>30</v>
      </c>
      <c r="F823" s="232"/>
      <c r="G823" s="232"/>
      <c r="H823" s="67">
        <f>+Table_1[[#This Row],[Column7]]+Table_1[[#This Row],[Column6]]+Table_1[[#This Row],[Column5]]+Table_1[[#This Row],[Column4]]</f>
        <v>30</v>
      </c>
      <c r="I823" s="43">
        <v>900</v>
      </c>
      <c r="J823" s="34">
        <f>'PACC GENERAL 2026'!$I823*'PACC GENERAL 2026'!$H823</f>
        <v>27000</v>
      </c>
      <c r="K823" s="17"/>
      <c r="L823" s="16"/>
      <c r="M823" s="16"/>
      <c r="N823" s="16"/>
      <c r="O823" s="370"/>
      <c r="P823" s="324"/>
    </row>
    <row r="824" spans="1:16" s="371" customFormat="1" ht="15.75" customHeight="1">
      <c r="A824" s="31" t="s">
        <v>382</v>
      </c>
      <c r="B824" s="31" t="s">
        <v>1593</v>
      </c>
      <c r="C824" s="370" t="s">
        <v>94</v>
      </c>
      <c r="D824" s="149"/>
      <c r="E824" s="234">
        <v>30</v>
      </c>
      <c r="F824" s="232"/>
      <c r="G824" s="232"/>
      <c r="H824" s="67">
        <f>+Table_1[[#This Row],[Column7]]+Table_1[[#This Row],[Column6]]+Table_1[[#This Row],[Column5]]+Table_1[[#This Row],[Column4]]</f>
        <v>30</v>
      </c>
      <c r="I824" s="43">
        <v>1900</v>
      </c>
      <c r="J824" s="34">
        <f>'PACC GENERAL 2026'!$I824*'PACC GENERAL 2026'!$H824</f>
        <v>57000</v>
      </c>
      <c r="K824" s="17"/>
      <c r="L824" s="16"/>
      <c r="M824" s="16"/>
      <c r="N824" s="16"/>
      <c r="O824" s="370"/>
      <c r="P824" s="324"/>
    </row>
    <row r="825" spans="1:16" s="371" customFormat="1" ht="15.75" customHeight="1">
      <c r="A825" s="31" t="s">
        <v>382</v>
      </c>
      <c r="B825" s="31" t="s">
        <v>1594</v>
      </c>
      <c r="C825" s="370" t="s">
        <v>94</v>
      </c>
      <c r="D825" s="149"/>
      <c r="E825" s="234">
        <v>75</v>
      </c>
      <c r="F825" s="232"/>
      <c r="G825" s="232"/>
      <c r="H825" s="67">
        <f>+Table_1[[#This Row],[Column7]]+Table_1[[#This Row],[Column6]]+Table_1[[#This Row],[Column5]]+Table_1[[#This Row],[Column4]]</f>
        <v>75</v>
      </c>
      <c r="I825" s="43">
        <v>1100</v>
      </c>
      <c r="J825" s="34">
        <f>'PACC GENERAL 2026'!$I825*'PACC GENERAL 2026'!$H825</f>
        <v>82500</v>
      </c>
      <c r="K825" s="17"/>
      <c r="L825" s="16"/>
      <c r="M825" s="16"/>
      <c r="N825" s="16"/>
      <c r="O825" s="370"/>
      <c r="P825" s="324"/>
    </row>
    <row r="826" spans="1:16" s="371" customFormat="1" ht="15.75" customHeight="1">
      <c r="A826" s="31" t="s">
        <v>382</v>
      </c>
      <c r="B826" s="31" t="s">
        <v>1595</v>
      </c>
      <c r="C826" s="370" t="s">
        <v>94</v>
      </c>
      <c r="D826" s="149"/>
      <c r="E826" s="234">
        <v>50</v>
      </c>
      <c r="F826" s="232"/>
      <c r="G826" s="232"/>
      <c r="H826" s="67">
        <f>+Table_1[[#This Row],[Column7]]+Table_1[[#This Row],[Column6]]+Table_1[[#This Row],[Column5]]+Table_1[[#This Row],[Column4]]</f>
        <v>50</v>
      </c>
      <c r="I826" s="43">
        <v>1200</v>
      </c>
      <c r="J826" s="34">
        <f>'PACC GENERAL 2026'!$I826*'PACC GENERAL 2026'!$H826</f>
        <v>60000</v>
      </c>
      <c r="K826" s="17"/>
      <c r="L826" s="16"/>
      <c r="M826" s="16"/>
      <c r="N826" s="16"/>
      <c r="O826" s="370"/>
      <c r="P826" s="324"/>
    </row>
    <row r="827" spans="1:16" s="371" customFormat="1" ht="15.75" customHeight="1">
      <c r="A827" s="31" t="s">
        <v>382</v>
      </c>
      <c r="B827" s="31" t="s">
        <v>1596</v>
      </c>
      <c r="C827" s="370" t="s">
        <v>94</v>
      </c>
      <c r="D827" s="149"/>
      <c r="E827" s="234">
        <v>30</v>
      </c>
      <c r="F827" s="232"/>
      <c r="G827" s="232"/>
      <c r="H827" s="67">
        <f>+Table_1[[#This Row],[Column7]]+Table_1[[#This Row],[Column6]]+Table_1[[#This Row],[Column5]]+Table_1[[#This Row],[Column4]]</f>
        <v>30</v>
      </c>
      <c r="I827" s="43">
        <v>1200</v>
      </c>
      <c r="J827" s="34">
        <f>'PACC GENERAL 2026'!$I827*'PACC GENERAL 2026'!$H827</f>
        <v>36000</v>
      </c>
      <c r="K827" s="17"/>
      <c r="L827" s="16"/>
      <c r="M827" s="16"/>
      <c r="N827" s="16"/>
      <c r="O827" s="370"/>
      <c r="P827" s="324"/>
    </row>
    <row r="828" spans="1:16" s="371" customFormat="1" ht="15.75" customHeight="1">
      <c r="A828" s="31" t="s">
        <v>382</v>
      </c>
      <c r="B828" s="31" t="s">
        <v>848</v>
      </c>
      <c r="C828" s="370" t="s">
        <v>94</v>
      </c>
      <c r="D828" s="149"/>
      <c r="E828" s="234">
        <v>12</v>
      </c>
      <c r="F828" s="232"/>
      <c r="G828" s="232"/>
      <c r="H828" s="67">
        <f>+Table_1[[#This Row],[Column7]]+Table_1[[#This Row],[Column6]]+Table_1[[#This Row],[Column5]]+Table_1[[#This Row],[Column4]]</f>
        <v>12</v>
      </c>
      <c r="I828" s="43">
        <v>3200</v>
      </c>
      <c r="J828" s="34">
        <f>'PACC GENERAL 2026'!$I828*'PACC GENERAL 2026'!$H828</f>
        <v>38400</v>
      </c>
      <c r="K828" s="17"/>
      <c r="L828" s="16"/>
      <c r="M828" s="16"/>
      <c r="N828" s="16"/>
      <c r="O828" s="370"/>
      <c r="P828" s="324"/>
    </row>
    <row r="829" spans="1:16" s="371" customFormat="1" ht="15.75" customHeight="1">
      <c r="A829" s="31" t="s">
        <v>382</v>
      </c>
      <c r="B829" s="31" t="s">
        <v>1597</v>
      </c>
      <c r="C829" s="370" t="s">
        <v>94</v>
      </c>
      <c r="D829" s="149"/>
      <c r="E829" s="234">
        <v>12</v>
      </c>
      <c r="F829" s="232"/>
      <c r="G829" s="232"/>
      <c r="H829" s="67">
        <f>+Table_1[[#This Row],[Column7]]+Table_1[[#This Row],[Column6]]+Table_1[[#This Row],[Column5]]+Table_1[[#This Row],[Column4]]</f>
        <v>12</v>
      </c>
      <c r="I829" s="43">
        <v>1500</v>
      </c>
      <c r="J829" s="34">
        <f>'PACC GENERAL 2026'!$I829*'PACC GENERAL 2026'!$H829</f>
        <v>18000</v>
      </c>
      <c r="K829" s="17"/>
      <c r="L829" s="16"/>
      <c r="M829" s="16"/>
      <c r="N829" s="16"/>
      <c r="O829" s="370"/>
      <c r="P829" s="324"/>
    </row>
    <row r="830" spans="1:16" s="371" customFormat="1" ht="15.75" customHeight="1">
      <c r="A830" s="31" t="s">
        <v>382</v>
      </c>
      <c r="B830" s="31" t="s">
        <v>849</v>
      </c>
      <c r="C830" s="370" t="s">
        <v>94</v>
      </c>
      <c r="D830" s="149"/>
      <c r="E830" s="234">
        <v>6</v>
      </c>
      <c r="F830" s="232"/>
      <c r="G830" s="232"/>
      <c r="H830" s="67">
        <f>+Table_1[[#This Row],[Column7]]+Table_1[[#This Row],[Column6]]+Table_1[[#This Row],[Column5]]+Table_1[[#This Row],[Column4]]</f>
        <v>6</v>
      </c>
      <c r="I830" s="43">
        <v>1500</v>
      </c>
      <c r="J830" s="34">
        <f>'PACC GENERAL 2026'!$I830*'PACC GENERAL 2026'!$H830</f>
        <v>9000</v>
      </c>
      <c r="K830" s="17"/>
      <c r="L830" s="16"/>
      <c r="M830" s="16"/>
      <c r="N830" s="16"/>
      <c r="O830" s="370"/>
      <c r="P830" s="324"/>
    </row>
    <row r="831" spans="1:16" s="371" customFormat="1" ht="15.75" customHeight="1">
      <c r="A831" s="31" t="s">
        <v>382</v>
      </c>
      <c r="B831" s="31" t="s">
        <v>1598</v>
      </c>
      <c r="C831" s="370" t="s">
        <v>94</v>
      </c>
      <c r="D831" s="149"/>
      <c r="E831" s="234">
        <v>12</v>
      </c>
      <c r="F831" s="232"/>
      <c r="G831" s="232"/>
      <c r="H831" s="67">
        <f>+Table_1[[#This Row],[Column7]]+Table_1[[#This Row],[Column6]]+Table_1[[#This Row],[Column5]]+Table_1[[#This Row],[Column4]]</f>
        <v>12</v>
      </c>
      <c r="I831" s="43">
        <v>1500</v>
      </c>
      <c r="J831" s="34">
        <f>'PACC GENERAL 2026'!$I831*'PACC GENERAL 2026'!$H831</f>
        <v>18000</v>
      </c>
      <c r="K831" s="17"/>
      <c r="L831" s="16"/>
      <c r="M831" s="16"/>
      <c r="N831" s="16"/>
      <c r="O831" s="370"/>
      <c r="P831" s="324"/>
    </row>
    <row r="832" spans="1:16" s="371" customFormat="1" ht="15.75" customHeight="1">
      <c r="A832" s="31" t="s">
        <v>382</v>
      </c>
      <c r="B832" s="31" t="s">
        <v>1599</v>
      </c>
      <c r="C832" s="370" t="s">
        <v>94</v>
      </c>
      <c r="D832" s="149"/>
      <c r="E832" s="234">
        <v>20</v>
      </c>
      <c r="F832" s="232"/>
      <c r="G832" s="232"/>
      <c r="H832" s="67">
        <f>+Table_1[[#This Row],[Column7]]+Table_1[[#This Row],[Column6]]+Table_1[[#This Row],[Column5]]+Table_1[[#This Row],[Column4]]</f>
        <v>20</v>
      </c>
      <c r="I832" s="43">
        <v>1900</v>
      </c>
      <c r="J832" s="34">
        <f>'PACC GENERAL 2026'!$I832*'PACC GENERAL 2026'!$H832</f>
        <v>38000</v>
      </c>
      <c r="K832" s="17"/>
      <c r="L832" s="16"/>
      <c r="M832" s="16"/>
      <c r="N832" s="16"/>
      <c r="O832" s="370"/>
      <c r="P832" s="324"/>
    </row>
    <row r="833" spans="1:16" s="371" customFormat="1" ht="15.75" customHeight="1">
      <c r="A833" s="31" t="s">
        <v>382</v>
      </c>
      <c r="B833" s="31" t="s">
        <v>853</v>
      </c>
      <c r="C833" s="370" t="s">
        <v>94</v>
      </c>
      <c r="D833" s="149"/>
      <c r="E833" s="234">
        <v>15</v>
      </c>
      <c r="F833" s="232"/>
      <c r="G833" s="232"/>
      <c r="H833" s="67">
        <f>+Table_1[[#This Row],[Column7]]+Table_1[[#This Row],[Column6]]+Table_1[[#This Row],[Column5]]+Table_1[[#This Row],[Column4]]</f>
        <v>15</v>
      </c>
      <c r="I833" s="43">
        <v>1900</v>
      </c>
      <c r="J833" s="34">
        <f>'PACC GENERAL 2026'!$I833*'PACC GENERAL 2026'!$H833</f>
        <v>28500</v>
      </c>
      <c r="K833" s="17"/>
      <c r="L833" s="16"/>
      <c r="M833" s="16"/>
      <c r="N833" s="16"/>
      <c r="O833" s="370"/>
      <c r="P833" s="324"/>
    </row>
    <row r="834" spans="1:16" s="371" customFormat="1" ht="15.75" customHeight="1">
      <c r="A834" s="31" t="s">
        <v>382</v>
      </c>
      <c r="B834" s="31" t="s">
        <v>1600</v>
      </c>
      <c r="C834" s="370" t="s">
        <v>94</v>
      </c>
      <c r="D834" s="149"/>
      <c r="E834" s="234">
        <v>15</v>
      </c>
      <c r="F834" s="232"/>
      <c r="G834" s="232"/>
      <c r="H834" s="67">
        <f>+Table_1[[#This Row],[Column7]]+Table_1[[#This Row],[Column6]]+Table_1[[#This Row],[Column5]]+Table_1[[#This Row],[Column4]]</f>
        <v>15</v>
      </c>
      <c r="I834" s="43">
        <v>1200</v>
      </c>
      <c r="J834" s="34">
        <f>'PACC GENERAL 2026'!$I834*'PACC GENERAL 2026'!$H834</f>
        <v>18000</v>
      </c>
      <c r="K834" s="17"/>
      <c r="L834" s="16"/>
      <c r="M834" s="16"/>
      <c r="N834" s="16"/>
      <c r="O834" s="370"/>
      <c r="P834" s="324"/>
    </row>
    <row r="835" spans="1:16" s="371" customFormat="1" ht="15.75" customHeight="1">
      <c r="A835" s="31" t="s">
        <v>382</v>
      </c>
      <c r="B835" s="31" t="s">
        <v>1601</v>
      </c>
      <c r="C835" s="370" t="s">
        <v>94</v>
      </c>
      <c r="D835" s="149"/>
      <c r="E835" s="234">
        <v>15</v>
      </c>
      <c r="F835" s="232"/>
      <c r="G835" s="232"/>
      <c r="H835" s="67">
        <f>+Table_1[[#This Row],[Column7]]+Table_1[[#This Row],[Column6]]+Table_1[[#This Row],[Column5]]+Table_1[[#This Row],[Column4]]</f>
        <v>15</v>
      </c>
      <c r="I835" s="43">
        <v>1200</v>
      </c>
      <c r="J835" s="34">
        <f>'PACC GENERAL 2026'!$I835*'PACC GENERAL 2026'!$H835</f>
        <v>18000</v>
      </c>
      <c r="K835" s="17"/>
      <c r="L835" s="16"/>
      <c r="M835" s="16"/>
      <c r="N835" s="16"/>
      <c r="O835" s="370"/>
      <c r="P835" s="324"/>
    </row>
    <row r="836" spans="1:16" s="371" customFormat="1" ht="15.75" customHeight="1">
      <c r="A836" s="31" t="s">
        <v>382</v>
      </c>
      <c r="B836" s="31" t="s">
        <v>1602</v>
      </c>
      <c r="C836" s="370" t="s">
        <v>94</v>
      </c>
      <c r="D836" s="149"/>
      <c r="E836" s="234">
        <v>30</v>
      </c>
      <c r="F836" s="232"/>
      <c r="G836" s="232"/>
      <c r="H836" s="67">
        <f>+Table_1[[#This Row],[Column7]]+Table_1[[#This Row],[Column6]]+Table_1[[#This Row],[Column5]]+Table_1[[#This Row],[Column4]]</f>
        <v>30</v>
      </c>
      <c r="I836" s="43">
        <v>1900</v>
      </c>
      <c r="J836" s="34">
        <f>'PACC GENERAL 2026'!$I836*'PACC GENERAL 2026'!$H836</f>
        <v>57000</v>
      </c>
      <c r="K836" s="17"/>
      <c r="L836" s="16"/>
      <c r="M836" s="16"/>
      <c r="N836" s="16"/>
      <c r="O836" s="370"/>
      <c r="P836" s="324"/>
    </row>
    <row r="837" spans="1:16" s="371" customFormat="1" ht="15.75" customHeight="1">
      <c r="A837" s="31" t="s">
        <v>382</v>
      </c>
      <c r="B837" s="31" t="s">
        <v>1603</v>
      </c>
      <c r="C837" s="370" t="s">
        <v>94</v>
      </c>
      <c r="D837" s="149"/>
      <c r="E837" s="234">
        <v>20</v>
      </c>
      <c r="F837" s="232"/>
      <c r="G837" s="232"/>
      <c r="H837" s="67">
        <f>+Table_1[[#This Row],[Column7]]+Table_1[[#This Row],[Column6]]+Table_1[[#This Row],[Column5]]+Table_1[[#This Row],[Column4]]</f>
        <v>20</v>
      </c>
      <c r="I837" s="43">
        <v>1900</v>
      </c>
      <c r="J837" s="34">
        <f>'PACC GENERAL 2026'!$I837*'PACC GENERAL 2026'!$H837</f>
        <v>38000</v>
      </c>
      <c r="K837" s="17"/>
      <c r="L837" s="16"/>
      <c r="M837" s="16"/>
      <c r="N837" s="16"/>
      <c r="O837" s="370"/>
      <c r="P837" s="324"/>
    </row>
    <row r="838" spans="1:16" s="371" customFormat="1" ht="15.75" customHeight="1">
      <c r="A838" s="31" t="s">
        <v>382</v>
      </c>
      <c r="B838" s="31" t="s">
        <v>1604</v>
      </c>
      <c r="C838" s="370" t="s">
        <v>94</v>
      </c>
      <c r="D838" s="149"/>
      <c r="E838" s="234">
        <v>20</v>
      </c>
      <c r="F838" s="232"/>
      <c r="G838" s="232"/>
      <c r="H838" s="67">
        <f>+Table_1[[#This Row],[Column7]]+Table_1[[#This Row],[Column6]]+Table_1[[#This Row],[Column5]]+Table_1[[#This Row],[Column4]]</f>
        <v>20</v>
      </c>
      <c r="I838" s="43">
        <v>1200</v>
      </c>
      <c r="J838" s="34">
        <f>'PACC GENERAL 2026'!$I838*'PACC GENERAL 2026'!$H838</f>
        <v>24000</v>
      </c>
      <c r="K838" s="17"/>
      <c r="L838" s="16"/>
      <c r="M838" s="16"/>
      <c r="N838" s="16"/>
      <c r="O838" s="370"/>
      <c r="P838" s="324"/>
    </row>
    <row r="839" spans="1:16" s="371" customFormat="1" ht="15.75" customHeight="1">
      <c r="A839" s="31" t="s">
        <v>382</v>
      </c>
      <c r="B839" s="31" t="s">
        <v>1605</v>
      </c>
      <c r="C839" s="370" t="s">
        <v>94</v>
      </c>
      <c r="D839" s="149"/>
      <c r="E839" s="234">
        <v>15</v>
      </c>
      <c r="F839" s="232"/>
      <c r="G839" s="232"/>
      <c r="H839" s="67">
        <f>+Table_1[[#This Row],[Column7]]+Table_1[[#This Row],[Column6]]+Table_1[[#This Row],[Column5]]+Table_1[[#This Row],[Column4]]</f>
        <v>15</v>
      </c>
      <c r="I839" s="43">
        <v>1200</v>
      </c>
      <c r="J839" s="34">
        <f>'PACC GENERAL 2026'!$I839*'PACC GENERAL 2026'!$H839</f>
        <v>18000</v>
      </c>
      <c r="K839" s="17"/>
      <c r="L839" s="16"/>
      <c r="M839" s="16"/>
      <c r="N839" s="16"/>
      <c r="O839" s="370"/>
      <c r="P839" s="324"/>
    </row>
    <row r="840" spans="1:16" ht="15.75" customHeight="1">
      <c r="A840" s="9" t="s">
        <v>382</v>
      </c>
      <c r="B840" s="10"/>
      <c r="C840" s="10"/>
      <c r="D840" s="152"/>
      <c r="E840" s="152"/>
      <c r="F840" s="152"/>
      <c r="G840" s="152"/>
      <c r="H840" s="111"/>
      <c r="I840" s="44"/>
      <c r="J840" s="12"/>
      <c r="K840" s="13">
        <f>SUBTOTAL(109,J791:J839)</f>
        <v>2409400</v>
      </c>
      <c r="L840" s="10"/>
      <c r="M840" s="10"/>
      <c r="N840" s="10"/>
      <c r="O840" s="73"/>
    </row>
    <row r="841" spans="1:16" s="97" customFormat="1" ht="15.75" customHeight="1">
      <c r="A841" s="31" t="s">
        <v>27</v>
      </c>
      <c r="B841" s="31" t="s">
        <v>202</v>
      </c>
      <c r="C841" s="32" t="s">
        <v>94</v>
      </c>
      <c r="D841" s="133"/>
      <c r="E841" s="137"/>
      <c r="F841" s="133"/>
      <c r="G841" s="133"/>
      <c r="H841" s="67">
        <f>+Table_1[[#This Row],[Column7]]+Table_1[[#This Row],[Column6]]+Table_1[[#This Row],[Column5]]+Table_1[[#This Row],[Column4]]</f>
        <v>0</v>
      </c>
      <c r="I841" s="38">
        <v>20</v>
      </c>
      <c r="J841" s="34">
        <f>'PACC GENERAL 2026'!$I841*'PACC GENERAL 2026'!$H841</f>
        <v>0</v>
      </c>
      <c r="K841" s="34"/>
      <c r="L841" s="31"/>
      <c r="M841" s="174"/>
      <c r="N841" s="179"/>
      <c r="O841" s="32"/>
    </row>
    <row r="842" spans="1:16" s="97" customFormat="1" ht="14.25" customHeight="1">
      <c r="A842" s="31" t="s">
        <v>27</v>
      </c>
      <c r="B842" s="31" t="s">
        <v>980</v>
      </c>
      <c r="C842" s="32" t="s">
        <v>138</v>
      </c>
      <c r="D842" s="133"/>
      <c r="E842" s="137"/>
      <c r="F842" s="137">
        <v>15</v>
      </c>
      <c r="G842" s="133"/>
      <c r="H842" s="67">
        <f>+Table_1[[#This Row],[Column7]]+Table_1[[#This Row],[Column6]]+Table_1[[#This Row],[Column5]]+Table_1[[#This Row],[Column4]]</f>
        <v>15</v>
      </c>
      <c r="I842" s="38">
        <v>800</v>
      </c>
      <c r="J842" s="34">
        <f>'PACC GENERAL 2026'!$I842*'PACC GENERAL 2026'!$H842</f>
        <v>12000</v>
      </c>
      <c r="K842" s="34"/>
      <c r="L842" s="31"/>
      <c r="M842" s="48"/>
      <c r="N842" s="63"/>
      <c r="O842" s="32" t="s">
        <v>414</v>
      </c>
      <c r="P842" s="320"/>
    </row>
    <row r="843" spans="1:16" s="97" customFormat="1" ht="14.25" customHeight="1">
      <c r="A843" s="31" t="s">
        <v>27</v>
      </c>
      <c r="B843" s="31" t="s">
        <v>981</v>
      </c>
      <c r="C843" s="32" t="s">
        <v>138</v>
      </c>
      <c r="D843" s="133"/>
      <c r="E843" s="137"/>
      <c r="F843" s="137">
        <v>6</v>
      </c>
      <c r="G843" s="133"/>
      <c r="H843" s="67">
        <f>+Table_1[[#This Row],[Column7]]+Table_1[[#This Row],[Column6]]+Table_1[[#This Row],[Column5]]+Table_1[[#This Row],[Column4]]</f>
        <v>6</v>
      </c>
      <c r="I843" s="38">
        <v>6500</v>
      </c>
      <c r="J843" s="34">
        <f>'PACC GENERAL 2026'!$I843*'PACC GENERAL 2026'!$H843</f>
        <v>39000</v>
      </c>
      <c r="K843" s="34"/>
      <c r="L843" s="31"/>
      <c r="M843" s="48"/>
      <c r="N843" s="63"/>
      <c r="O843" s="32" t="s">
        <v>414</v>
      </c>
      <c r="P843" s="320"/>
    </row>
    <row r="844" spans="1:16" s="97" customFormat="1" ht="14.25" customHeight="1">
      <c r="A844" s="31" t="s">
        <v>27</v>
      </c>
      <c r="B844" s="31" t="s">
        <v>982</v>
      </c>
      <c r="C844" s="32" t="s">
        <v>138</v>
      </c>
      <c r="D844" s="133"/>
      <c r="E844" s="137"/>
      <c r="F844" s="137">
        <v>3</v>
      </c>
      <c r="G844" s="133"/>
      <c r="H844" s="67">
        <f>+Table_1[[#This Row],[Column7]]+Table_1[[#This Row],[Column6]]+Table_1[[#This Row],[Column5]]+Table_1[[#This Row],[Column4]]</f>
        <v>3</v>
      </c>
      <c r="I844" s="38">
        <v>15000</v>
      </c>
      <c r="J844" s="34">
        <f>'PACC GENERAL 2026'!$I844*'PACC GENERAL 2026'!$H844</f>
        <v>45000</v>
      </c>
      <c r="K844" s="34"/>
      <c r="L844" s="31"/>
      <c r="M844" s="48"/>
      <c r="N844" s="63"/>
      <c r="O844" s="32" t="s">
        <v>414</v>
      </c>
      <c r="P844" s="320"/>
    </row>
    <row r="845" spans="1:16" s="97" customFormat="1" ht="14.25" customHeight="1">
      <c r="A845" s="31" t="s">
        <v>27</v>
      </c>
      <c r="B845" s="31" t="s">
        <v>983</v>
      </c>
      <c r="C845" s="32" t="s">
        <v>138</v>
      </c>
      <c r="D845" s="133"/>
      <c r="E845" s="137"/>
      <c r="F845" s="137">
        <v>1</v>
      </c>
      <c r="G845" s="133"/>
      <c r="H845" s="67">
        <f>+Table_1[[#This Row],[Column7]]+Table_1[[#This Row],[Column6]]+Table_1[[#This Row],[Column5]]+Table_1[[#This Row],[Column4]]</f>
        <v>1</v>
      </c>
      <c r="I845" s="38">
        <v>4500</v>
      </c>
      <c r="J845" s="34">
        <f>'PACC GENERAL 2026'!$I845*'PACC GENERAL 2026'!$H845</f>
        <v>4500</v>
      </c>
      <c r="K845" s="34"/>
      <c r="L845" s="31"/>
      <c r="M845" s="48"/>
      <c r="N845" s="63"/>
      <c r="O845" s="32" t="s">
        <v>414</v>
      </c>
      <c r="P845" s="320"/>
    </row>
    <row r="846" spans="1:16" s="97" customFormat="1" ht="14.25" customHeight="1">
      <c r="A846" s="31" t="s">
        <v>27</v>
      </c>
      <c r="B846" s="31" t="s">
        <v>984</v>
      </c>
      <c r="C846" s="32" t="s">
        <v>138</v>
      </c>
      <c r="D846" s="133"/>
      <c r="E846" s="137"/>
      <c r="F846" s="137">
        <v>2</v>
      </c>
      <c r="G846" s="133"/>
      <c r="H846" s="67">
        <f>+Table_1[[#This Row],[Column7]]+Table_1[[#This Row],[Column6]]+Table_1[[#This Row],[Column5]]+Table_1[[#This Row],[Column4]]</f>
        <v>2</v>
      </c>
      <c r="I846" s="38">
        <v>100000</v>
      </c>
      <c r="J846" s="34">
        <f>'PACC GENERAL 2026'!$I846*'PACC GENERAL 2026'!$H846</f>
        <v>200000</v>
      </c>
      <c r="K846" s="34"/>
      <c r="L846" s="31"/>
      <c r="M846" s="48"/>
      <c r="N846" s="63"/>
      <c r="O846" s="32" t="s">
        <v>414</v>
      </c>
      <c r="P846" s="320"/>
    </row>
    <row r="847" spans="1:16" s="97" customFormat="1" ht="20.25" customHeight="1">
      <c r="A847" s="31" t="s">
        <v>27</v>
      </c>
      <c r="B847" s="31" t="s">
        <v>985</v>
      </c>
      <c r="C847" s="32" t="s">
        <v>138</v>
      </c>
      <c r="D847" s="133"/>
      <c r="E847" s="137"/>
      <c r="F847" s="137">
        <v>1</v>
      </c>
      <c r="G847" s="133"/>
      <c r="H847" s="67">
        <f>+Table_1[[#This Row],[Column7]]+Table_1[[#This Row],[Column6]]+Table_1[[#This Row],[Column5]]+Table_1[[#This Row],[Column4]]</f>
        <v>1</v>
      </c>
      <c r="I847" s="38">
        <v>280000</v>
      </c>
      <c r="J847" s="34">
        <f>'PACC GENERAL 2026'!$I847*'PACC GENERAL 2026'!$H847</f>
        <v>280000</v>
      </c>
      <c r="K847" s="34"/>
      <c r="L847" s="31"/>
      <c r="M847" s="48"/>
      <c r="N847" s="63"/>
      <c r="O847" s="32" t="s">
        <v>414</v>
      </c>
      <c r="P847" s="320"/>
    </row>
    <row r="848" spans="1:16" s="97" customFormat="1" ht="14.25" customHeight="1">
      <c r="A848" s="31" t="s">
        <v>27</v>
      </c>
      <c r="B848" s="31" t="s">
        <v>986</v>
      </c>
      <c r="C848" s="32" t="s">
        <v>138</v>
      </c>
      <c r="D848" s="133"/>
      <c r="E848" s="137"/>
      <c r="F848" s="137">
        <v>1</v>
      </c>
      <c r="G848" s="133"/>
      <c r="H848" s="67">
        <f>+Table_1[[#This Row],[Column7]]+Table_1[[#This Row],[Column6]]+Table_1[[#This Row],[Column5]]+Table_1[[#This Row],[Column4]]</f>
        <v>1</v>
      </c>
      <c r="I848" s="38">
        <v>100000</v>
      </c>
      <c r="J848" s="34">
        <f>'PACC GENERAL 2026'!$I848*'PACC GENERAL 2026'!$H848</f>
        <v>100000</v>
      </c>
      <c r="K848" s="34"/>
      <c r="L848" s="31"/>
      <c r="M848" s="48"/>
      <c r="N848" s="63"/>
      <c r="O848" s="32" t="s">
        <v>414</v>
      </c>
      <c r="P848" s="320"/>
    </row>
    <row r="849" spans="1:16" s="287" customFormat="1" ht="17.25" customHeight="1">
      <c r="A849" s="36" t="s">
        <v>27</v>
      </c>
      <c r="B849" s="36" t="s">
        <v>207</v>
      </c>
      <c r="C849" s="37" t="s">
        <v>94</v>
      </c>
      <c r="D849" s="138"/>
      <c r="E849" s="213"/>
      <c r="F849" s="138">
        <v>2</v>
      </c>
      <c r="G849" s="138"/>
      <c r="H849" s="67">
        <f>+Table_1[[#This Row],[Column7]]+Table_1[[#This Row],[Column6]]+Table_1[[#This Row],[Column5]]+Table_1[[#This Row],[Column4]]</f>
        <v>2</v>
      </c>
      <c r="I849" s="38">
        <v>50000</v>
      </c>
      <c r="J849" s="34">
        <f>'PACC GENERAL 2026'!$I849*'PACC GENERAL 2026'!$H849</f>
        <v>100000</v>
      </c>
      <c r="K849" s="40"/>
      <c r="L849" s="36"/>
      <c r="M849" s="175"/>
      <c r="N849" s="187"/>
      <c r="O849" s="37" t="s">
        <v>414</v>
      </c>
      <c r="P849" s="323"/>
    </row>
    <row r="850" spans="1:16" ht="15.75" customHeight="1">
      <c r="A850" s="16" t="s">
        <v>27</v>
      </c>
      <c r="B850" s="31" t="s">
        <v>200</v>
      </c>
      <c r="C850" s="32" t="s">
        <v>199</v>
      </c>
      <c r="D850" s="133">
        <v>4</v>
      </c>
      <c r="E850" s="133"/>
      <c r="F850" s="133"/>
      <c r="G850" s="149"/>
      <c r="H850" s="67">
        <f>+Table_1[[#This Row],[Column7]]+Table_1[[#This Row],[Column6]]+Table_1[[#This Row],[Column5]]+Table_1[[#This Row],[Column4]]</f>
        <v>4</v>
      </c>
      <c r="I850" s="233">
        <v>104500</v>
      </c>
      <c r="J850" s="34">
        <f>'PACC GENERAL 2026'!$I850*'PACC GENERAL 2026'!$H850</f>
        <v>418000</v>
      </c>
      <c r="K850" s="8"/>
      <c r="L850" s="16"/>
      <c r="M850" s="16"/>
      <c r="N850" s="276"/>
      <c r="O850" s="276" t="s">
        <v>1191</v>
      </c>
      <c r="P850" s="319"/>
    </row>
    <row r="851" spans="1:16" ht="17.25" customHeight="1">
      <c r="A851" s="16" t="s">
        <v>27</v>
      </c>
      <c r="B851" s="31" t="s">
        <v>206</v>
      </c>
      <c r="C851" s="32" t="s">
        <v>94</v>
      </c>
      <c r="D851" s="133">
        <v>3</v>
      </c>
      <c r="E851" s="133"/>
      <c r="F851" s="133"/>
      <c r="G851" s="149"/>
      <c r="H851" s="67">
        <f>+Table_1[[#This Row],[Column7]]+Table_1[[#This Row],[Column6]]+Table_1[[#This Row],[Column5]]+Table_1[[#This Row],[Column4]]</f>
        <v>3</v>
      </c>
      <c r="I851" s="233">
        <v>265000</v>
      </c>
      <c r="J851" s="34">
        <f>'PACC GENERAL 2026'!$I851*'PACC GENERAL 2026'!$H851</f>
        <v>795000</v>
      </c>
      <c r="K851" s="8"/>
      <c r="L851" s="16"/>
      <c r="M851" s="16"/>
      <c r="N851" s="276"/>
      <c r="O851" s="276" t="s">
        <v>1191</v>
      </c>
      <c r="P851" s="319"/>
    </row>
    <row r="852" spans="1:16" ht="18.75" customHeight="1">
      <c r="A852" s="16" t="s">
        <v>27</v>
      </c>
      <c r="B852" s="31" t="s">
        <v>207</v>
      </c>
      <c r="C852" s="32" t="s">
        <v>94</v>
      </c>
      <c r="D852" s="133">
        <f>2+3</f>
        <v>5</v>
      </c>
      <c r="E852" s="133"/>
      <c r="F852" s="133"/>
      <c r="G852" s="149"/>
      <c r="H852" s="67">
        <f>+Table_1[[#This Row],[Column7]]+Table_1[[#This Row],[Column6]]+Table_1[[#This Row],[Column5]]+Table_1[[#This Row],[Column4]]</f>
        <v>5</v>
      </c>
      <c r="I852" s="33">
        <v>50000</v>
      </c>
      <c r="J852" s="34">
        <f>'PACC GENERAL 2026'!$I852*'PACC GENERAL 2026'!$H852</f>
        <v>250000</v>
      </c>
      <c r="K852" s="8"/>
      <c r="L852" s="16"/>
      <c r="M852" s="16"/>
      <c r="N852" s="276"/>
      <c r="O852" s="276" t="s">
        <v>1191</v>
      </c>
      <c r="P852" s="319"/>
    </row>
    <row r="853" spans="1:16" s="418" customFormat="1" ht="15.75" customHeight="1">
      <c r="A853" s="126" t="s">
        <v>27</v>
      </c>
      <c r="B853" s="126" t="s">
        <v>244</v>
      </c>
      <c r="C853" s="420" t="s">
        <v>94</v>
      </c>
      <c r="D853" s="421">
        <v>25</v>
      </c>
      <c r="E853" s="421"/>
      <c r="F853" s="421"/>
      <c r="G853" s="421"/>
      <c r="H853" s="410">
        <f>+Table_1[[#This Row],[Column7]]+Table_1[[#This Row],[Column6]]+Table_1[[#This Row],[Column5]]+Table_1[[#This Row],[Column4]]</f>
        <v>25</v>
      </c>
      <c r="I853" s="481">
        <v>4300</v>
      </c>
      <c r="J853" s="422">
        <f>'PACC GENERAL 2026'!$I853*'PACC GENERAL 2026'!$H853</f>
        <v>107500</v>
      </c>
      <c r="K853" s="423"/>
      <c r="L853" s="126"/>
      <c r="M853" s="126"/>
      <c r="N853" s="420"/>
      <c r="O853" s="420" t="s">
        <v>1191</v>
      </c>
      <c r="P853" s="482"/>
    </row>
    <row r="854" spans="1:16" ht="15.75" customHeight="1">
      <c r="A854" s="16" t="s">
        <v>597</v>
      </c>
      <c r="B854" s="31" t="s">
        <v>598</v>
      </c>
      <c r="C854" s="32" t="s">
        <v>94</v>
      </c>
      <c r="D854" s="133">
        <v>2</v>
      </c>
      <c r="E854" s="133"/>
      <c r="F854" s="133"/>
      <c r="G854" s="149"/>
      <c r="H854" s="67">
        <f>+Table_1[[#This Row],[Column7]]+Table_1[[#This Row],[Column6]]+Table_1[[#This Row],[Column5]]+Table_1[[#This Row],[Column4]]</f>
        <v>2</v>
      </c>
      <c r="I854" s="33">
        <v>1000000</v>
      </c>
      <c r="J854" s="34">
        <f>'PACC GENERAL 2026'!$I854*'PACC GENERAL 2026'!$H854</f>
        <v>2000000</v>
      </c>
      <c r="K854" s="8"/>
      <c r="L854" s="16"/>
      <c r="M854" s="16"/>
      <c r="N854" s="276"/>
      <c r="O854" s="276" t="s">
        <v>1191</v>
      </c>
      <c r="P854" s="319"/>
    </row>
    <row r="855" spans="1:16" ht="15.75" customHeight="1">
      <c r="A855" s="16" t="s">
        <v>597</v>
      </c>
      <c r="B855" s="31" t="s">
        <v>599</v>
      </c>
      <c r="C855" s="32" t="s">
        <v>94</v>
      </c>
      <c r="D855" s="133">
        <v>3</v>
      </c>
      <c r="E855" s="133"/>
      <c r="F855" s="133"/>
      <c r="G855" s="149"/>
      <c r="H855" s="67">
        <f>+Table_1[[#This Row],[Column7]]+Table_1[[#This Row],[Column6]]+Table_1[[#This Row],[Column5]]+Table_1[[#This Row],[Column4]]</f>
        <v>3</v>
      </c>
      <c r="I855" s="86">
        <v>1650000</v>
      </c>
      <c r="J855" s="34">
        <f>'PACC GENERAL 2026'!$I855*'PACC GENERAL 2026'!$H855</f>
        <v>4950000</v>
      </c>
      <c r="K855" s="8"/>
      <c r="L855" s="16"/>
      <c r="M855" s="16"/>
      <c r="N855" s="276"/>
      <c r="O855" s="276" t="s">
        <v>1191</v>
      </c>
      <c r="P855" s="319"/>
    </row>
    <row r="856" spans="1:16" ht="15.75" customHeight="1">
      <c r="A856" s="16" t="s">
        <v>597</v>
      </c>
      <c r="B856" s="31" t="s">
        <v>602</v>
      </c>
      <c r="C856" s="32" t="s">
        <v>94</v>
      </c>
      <c r="D856" s="133">
        <v>4</v>
      </c>
      <c r="E856" s="133"/>
      <c r="F856" s="133"/>
      <c r="G856" s="149"/>
      <c r="H856" s="67">
        <f>+Table_1[[#This Row],[Column7]]+Table_1[[#This Row],[Column6]]+Table_1[[#This Row],[Column5]]+Table_1[[#This Row],[Column4]]</f>
        <v>4</v>
      </c>
      <c r="I856" s="33">
        <v>45000</v>
      </c>
      <c r="J856" s="34">
        <f>'PACC GENERAL 2026'!$I856*'PACC GENERAL 2026'!$H856</f>
        <v>180000</v>
      </c>
      <c r="K856" s="8"/>
      <c r="L856" s="16"/>
      <c r="M856" s="16"/>
      <c r="N856" s="276"/>
      <c r="O856" s="276" t="s">
        <v>1191</v>
      </c>
      <c r="P856" s="319"/>
    </row>
    <row r="857" spans="1:16" ht="15.75" customHeight="1">
      <c r="A857" s="16" t="s">
        <v>597</v>
      </c>
      <c r="B857" s="31" t="s">
        <v>594</v>
      </c>
      <c r="C857" s="32" t="s">
        <v>94</v>
      </c>
      <c r="D857" s="133">
        <f>4-2</f>
        <v>2</v>
      </c>
      <c r="E857" s="133"/>
      <c r="F857" s="133"/>
      <c r="G857" s="149"/>
      <c r="H857" s="67">
        <f>+Table_1[[#This Row],[Column7]]+Table_1[[#This Row],[Column6]]+Table_1[[#This Row],[Column5]]+Table_1[[#This Row],[Column4]]</f>
        <v>2</v>
      </c>
      <c r="I857" s="33">
        <v>38000</v>
      </c>
      <c r="J857" s="34">
        <f>'PACC GENERAL 2026'!$I857*'PACC GENERAL 2026'!$H857</f>
        <v>76000</v>
      </c>
      <c r="K857" s="17"/>
      <c r="L857" s="16"/>
      <c r="M857" s="16"/>
      <c r="N857" s="16"/>
      <c r="O857" s="276" t="s">
        <v>1191</v>
      </c>
      <c r="P857" s="319"/>
    </row>
    <row r="858" spans="1:16" ht="15.75" customHeight="1">
      <c r="A858" s="16" t="s">
        <v>597</v>
      </c>
      <c r="B858" s="31" t="s">
        <v>1194</v>
      </c>
      <c r="C858" s="32" t="s">
        <v>138</v>
      </c>
      <c r="D858" s="133">
        <v>3</v>
      </c>
      <c r="E858" s="133"/>
      <c r="F858" s="133"/>
      <c r="G858" s="149"/>
      <c r="H858" s="67">
        <f>+Table_1[[#This Row],[Column7]]+Table_1[[#This Row],[Column6]]+Table_1[[#This Row],[Column5]]+Table_1[[#This Row],[Column4]]</f>
        <v>3</v>
      </c>
      <c r="I858" s="33">
        <v>600000</v>
      </c>
      <c r="J858" s="34">
        <f>'PACC GENERAL 2026'!$I858*'PACC GENERAL 2026'!$H858</f>
        <v>1800000</v>
      </c>
      <c r="K858" s="17"/>
      <c r="L858" s="16"/>
      <c r="M858" s="16"/>
      <c r="N858" s="16"/>
      <c r="O858" s="276" t="s">
        <v>1191</v>
      </c>
      <c r="P858" s="319"/>
    </row>
    <row r="859" spans="1:16" ht="15.75" customHeight="1">
      <c r="A859" s="16" t="s">
        <v>597</v>
      </c>
      <c r="B859" s="31" t="s">
        <v>1195</v>
      </c>
      <c r="C859" s="32" t="s">
        <v>138</v>
      </c>
      <c r="D859" s="133">
        <v>3</v>
      </c>
      <c r="E859" s="133"/>
      <c r="F859" s="133"/>
      <c r="G859" s="149"/>
      <c r="H859" s="67">
        <f>+Table_1[[#This Row],[Column7]]+Table_1[[#This Row],[Column6]]+Table_1[[#This Row],[Column5]]+Table_1[[#This Row],[Column4]]</f>
        <v>3</v>
      </c>
      <c r="I859" s="33">
        <v>700000</v>
      </c>
      <c r="J859" s="34">
        <f>'PACC GENERAL 2026'!$I859*'PACC GENERAL 2026'!$H859</f>
        <v>2100000</v>
      </c>
      <c r="K859" s="17"/>
      <c r="L859" s="16"/>
      <c r="M859" s="16"/>
      <c r="N859" s="16"/>
      <c r="O859" s="276" t="s">
        <v>1191</v>
      </c>
      <c r="P859" s="319"/>
    </row>
    <row r="860" spans="1:16" ht="15.75" customHeight="1">
      <c r="A860" s="16" t="s">
        <v>597</v>
      </c>
      <c r="B860" s="31" t="s">
        <v>1196</v>
      </c>
      <c r="C860" s="32" t="s">
        <v>138</v>
      </c>
      <c r="D860" s="133">
        <v>2</v>
      </c>
      <c r="E860" s="133"/>
      <c r="F860" s="133"/>
      <c r="G860" s="149"/>
      <c r="H860" s="67">
        <f>+Table_1[[#This Row],[Column7]]+Table_1[[#This Row],[Column6]]+Table_1[[#This Row],[Column5]]+Table_1[[#This Row],[Column4]]</f>
        <v>2</v>
      </c>
      <c r="I860" s="33">
        <v>300000</v>
      </c>
      <c r="J860" s="34">
        <f>'PACC GENERAL 2026'!$I860*'PACC GENERAL 2026'!$H860</f>
        <v>600000</v>
      </c>
      <c r="K860" s="17"/>
      <c r="L860" s="16"/>
      <c r="M860" s="16"/>
      <c r="N860" s="16"/>
      <c r="O860" s="276" t="s">
        <v>1191</v>
      </c>
      <c r="P860" s="319"/>
    </row>
    <row r="861" spans="1:16" ht="15.75" customHeight="1">
      <c r="A861" s="16" t="s">
        <v>597</v>
      </c>
      <c r="B861" s="31" t="s">
        <v>1197</v>
      </c>
      <c r="C861" s="32" t="s">
        <v>138</v>
      </c>
      <c r="D861" s="133">
        <v>650</v>
      </c>
      <c r="E861" s="133"/>
      <c r="F861" s="133"/>
      <c r="G861" s="149"/>
      <c r="H861" s="67">
        <f>+Table_1[[#This Row],[Column7]]+Table_1[[#This Row],[Column6]]+Table_1[[#This Row],[Column5]]+Table_1[[#This Row],[Column4]]</f>
        <v>650</v>
      </c>
      <c r="I861" s="233">
        <v>750</v>
      </c>
      <c r="J861" s="34">
        <f>'PACC GENERAL 2026'!$I861*'PACC GENERAL 2026'!$H861</f>
        <v>487500</v>
      </c>
      <c r="K861" s="17"/>
      <c r="L861" s="16"/>
      <c r="M861" s="16"/>
      <c r="N861" s="16"/>
      <c r="O861" s="276" t="s">
        <v>1191</v>
      </c>
      <c r="P861" s="319"/>
    </row>
    <row r="862" spans="1:16" ht="15.75" customHeight="1">
      <c r="A862" s="16" t="s">
        <v>597</v>
      </c>
      <c r="B862" s="31" t="s">
        <v>205</v>
      </c>
      <c r="C862" s="32" t="s">
        <v>138</v>
      </c>
      <c r="D862" s="133">
        <v>3</v>
      </c>
      <c r="E862" s="133"/>
      <c r="F862" s="133"/>
      <c r="G862" s="149"/>
      <c r="H862" s="67">
        <f>+Table_1[[#This Row],[Column7]]+Table_1[[#This Row],[Column6]]+Table_1[[#This Row],[Column5]]+Table_1[[#This Row],[Column4]]</f>
        <v>3</v>
      </c>
      <c r="I862" s="233">
        <v>1150000</v>
      </c>
      <c r="J862" s="34">
        <f>'PACC GENERAL 2026'!$I862*'PACC GENERAL 2026'!$H862</f>
        <v>3450000</v>
      </c>
      <c r="K862" s="17"/>
      <c r="L862" s="16"/>
      <c r="M862" s="16"/>
      <c r="N862" s="16"/>
      <c r="O862" s="276" t="s">
        <v>1191</v>
      </c>
      <c r="P862" s="319"/>
    </row>
    <row r="863" spans="1:16" ht="15.75" customHeight="1">
      <c r="A863" s="16" t="s">
        <v>597</v>
      </c>
      <c r="B863" s="16" t="s">
        <v>1198</v>
      </c>
      <c r="C863" s="276" t="s">
        <v>138</v>
      </c>
      <c r="D863" s="149"/>
      <c r="E863" s="149"/>
      <c r="F863" s="149"/>
      <c r="G863" s="149"/>
      <c r="H863" s="67">
        <f>+Table_1[[#This Row],[Column7]]+Table_1[[#This Row],[Column6]]+Table_1[[#This Row],[Column5]]+Table_1[[#This Row],[Column4]]</f>
        <v>0</v>
      </c>
      <c r="I863" s="233">
        <v>380000</v>
      </c>
      <c r="J863" s="34">
        <f>'PACC GENERAL 2026'!$I863*'PACC GENERAL 2026'!$H863</f>
        <v>0</v>
      </c>
      <c r="K863" s="17"/>
      <c r="L863" s="16"/>
      <c r="M863" s="16"/>
      <c r="N863" s="16"/>
      <c r="O863" s="276" t="s">
        <v>1191</v>
      </c>
      <c r="P863" s="319"/>
    </row>
    <row r="864" spans="1:16" ht="15.75" customHeight="1">
      <c r="A864" s="16" t="s">
        <v>597</v>
      </c>
      <c r="B864" s="16" t="s">
        <v>1199</v>
      </c>
      <c r="C864" s="276" t="s">
        <v>138</v>
      </c>
      <c r="D864" s="149">
        <v>2</v>
      </c>
      <c r="E864" s="149"/>
      <c r="F864" s="149"/>
      <c r="G864" s="149"/>
      <c r="H864" s="67">
        <f>+Table_1[[#This Row],[Column7]]+Table_1[[#This Row],[Column6]]+Table_1[[#This Row],[Column5]]+Table_1[[#This Row],[Column4]]</f>
        <v>2</v>
      </c>
      <c r="I864" s="233">
        <v>1000000</v>
      </c>
      <c r="J864" s="34">
        <f>'PACC GENERAL 2026'!$I864*'PACC GENERAL 2026'!$H864</f>
        <v>2000000</v>
      </c>
      <c r="K864" s="17"/>
      <c r="L864" s="16"/>
      <c r="M864" s="16"/>
      <c r="N864" s="16"/>
      <c r="O864" s="276" t="s">
        <v>1191</v>
      </c>
      <c r="P864" s="319"/>
    </row>
    <row r="865" spans="1:16" ht="15.75" customHeight="1">
      <c r="A865" s="16" t="s">
        <v>597</v>
      </c>
      <c r="B865" s="16" t="s">
        <v>1200</v>
      </c>
      <c r="C865" s="276" t="s">
        <v>138</v>
      </c>
      <c r="D865" s="149">
        <v>3</v>
      </c>
      <c r="E865" s="149"/>
      <c r="F865" s="149"/>
      <c r="G865" s="149"/>
      <c r="H865" s="67">
        <f>+Table_1[[#This Row],[Column7]]+Table_1[[#This Row],[Column6]]+Table_1[[#This Row],[Column5]]+Table_1[[#This Row],[Column4]]</f>
        <v>3</v>
      </c>
      <c r="I865" s="233">
        <v>270000</v>
      </c>
      <c r="J865" s="34">
        <f>'PACC GENERAL 2026'!$I865*'PACC GENERAL 2026'!$H865</f>
        <v>810000</v>
      </c>
      <c r="K865" s="17"/>
      <c r="L865" s="16"/>
      <c r="M865" s="16"/>
      <c r="N865" s="16"/>
      <c r="O865" s="276" t="s">
        <v>1191</v>
      </c>
      <c r="P865" s="319"/>
    </row>
    <row r="866" spans="1:16" ht="15.75" customHeight="1">
      <c r="A866" s="16" t="s">
        <v>597</v>
      </c>
      <c r="B866" s="16" t="s">
        <v>1201</v>
      </c>
      <c r="C866" s="276" t="s">
        <v>138</v>
      </c>
      <c r="D866" s="149">
        <v>3</v>
      </c>
      <c r="E866" s="149"/>
      <c r="F866" s="149"/>
      <c r="G866" s="149"/>
      <c r="H866" s="67">
        <f>+Table_1[[#This Row],[Column7]]+Table_1[[#This Row],[Column6]]+Table_1[[#This Row],[Column5]]+Table_1[[#This Row],[Column4]]</f>
        <v>3</v>
      </c>
      <c r="I866" s="233">
        <v>70000</v>
      </c>
      <c r="J866" s="34">
        <f>'PACC GENERAL 2026'!$I866*'PACC GENERAL 2026'!$H866</f>
        <v>210000</v>
      </c>
      <c r="K866" s="17"/>
      <c r="L866" s="16"/>
      <c r="M866" s="16"/>
      <c r="N866" s="16"/>
      <c r="O866" s="276" t="s">
        <v>1191</v>
      </c>
      <c r="P866" s="319"/>
    </row>
    <row r="867" spans="1:16" ht="15.75" customHeight="1">
      <c r="A867" s="16" t="s">
        <v>597</v>
      </c>
      <c r="B867" s="16" t="s">
        <v>1202</v>
      </c>
      <c r="C867" s="276" t="s">
        <v>138</v>
      </c>
      <c r="D867" s="149">
        <v>3</v>
      </c>
      <c r="E867" s="149"/>
      <c r="F867" s="149"/>
      <c r="G867" s="149"/>
      <c r="H867" s="67">
        <f>+Table_1[[#This Row],[Column7]]+Table_1[[#This Row],[Column6]]+Table_1[[#This Row],[Column5]]+Table_1[[#This Row],[Column4]]</f>
        <v>3</v>
      </c>
      <c r="I867" s="233">
        <v>300000</v>
      </c>
      <c r="J867" s="34">
        <f>'PACC GENERAL 2026'!$I867*'PACC GENERAL 2026'!$H867</f>
        <v>900000</v>
      </c>
      <c r="K867" s="17"/>
      <c r="L867" s="16"/>
      <c r="M867" s="16"/>
      <c r="N867" s="16"/>
      <c r="O867" s="276" t="s">
        <v>1191</v>
      </c>
      <c r="P867" s="319"/>
    </row>
    <row r="868" spans="1:16" ht="15.75" customHeight="1">
      <c r="A868" s="16" t="s">
        <v>597</v>
      </c>
      <c r="B868" s="16" t="s">
        <v>1203</v>
      </c>
      <c r="C868" s="276" t="s">
        <v>138</v>
      </c>
      <c r="D868" s="149">
        <v>4</v>
      </c>
      <c r="E868" s="149"/>
      <c r="F868" s="149"/>
      <c r="G868" s="149"/>
      <c r="H868" s="67">
        <f>+Table_1[[#This Row],[Column7]]+Table_1[[#This Row],[Column6]]+Table_1[[#This Row],[Column5]]+Table_1[[#This Row],[Column4]]</f>
        <v>4</v>
      </c>
      <c r="I868" s="233">
        <v>25000</v>
      </c>
      <c r="J868" s="34">
        <f>'PACC GENERAL 2026'!$I868*'PACC GENERAL 2026'!$H868</f>
        <v>100000</v>
      </c>
      <c r="K868" s="17"/>
      <c r="L868" s="16"/>
      <c r="M868" s="16"/>
      <c r="N868" s="16"/>
      <c r="O868" s="276" t="s">
        <v>1191</v>
      </c>
      <c r="P868" s="319"/>
    </row>
    <row r="869" spans="1:16" ht="15.75" customHeight="1">
      <c r="A869" s="16" t="s">
        <v>597</v>
      </c>
      <c r="B869" s="16" t="s">
        <v>1204</v>
      </c>
      <c r="C869" s="276" t="s">
        <v>138</v>
      </c>
      <c r="D869" s="149">
        <v>3</v>
      </c>
      <c r="E869" s="149"/>
      <c r="F869" s="149"/>
      <c r="G869" s="149"/>
      <c r="H869" s="67">
        <f>+Table_1[[#This Row],[Column7]]+Table_1[[#This Row],[Column6]]+Table_1[[#This Row],[Column5]]+Table_1[[#This Row],[Column4]]</f>
        <v>3</v>
      </c>
      <c r="I869" s="233">
        <v>70000</v>
      </c>
      <c r="J869" s="34">
        <f>'PACC GENERAL 2026'!$I869*'PACC GENERAL 2026'!$H869</f>
        <v>210000</v>
      </c>
      <c r="K869" s="17"/>
      <c r="L869" s="16"/>
      <c r="M869" s="16"/>
      <c r="N869" s="16"/>
      <c r="O869" s="276" t="s">
        <v>1191</v>
      </c>
      <c r="P869" s="319"/>
    </row>
    <row r="870" spans="1:16" ht="15.75" customHeight="1">
      <c r="A870" s="16" t="s">
        <v>597</v>
      </c>
      <c r="B870" s="16" t="s">
        <v>980</v>
      </c>
      <c r="C870" s="276" t="s">
        <v>138</v>
      </c>
      <c r="D870" s="149">
        <v>50</v>
      </c>
      <c r="E870" s="149"/>
      <c r="F870" s="149"/>
      <c r="G870" s="149"/>
      <c r="H870" s="67">
        <f>+Table_1[[#This Row],[Column7]]+Table_1[[#This Row],[Column6]]+Table_1[[#This Row],[Column5]]+Table_1[[#This Row],[Column4]]</f>
        <v>50</v>
      </c>
      <c r="I870" s="233">
        <v>800</v>
      </c>
      <c r="J870" s="34">
        <f>'PACC GENERAL 2026'!$I870*'PACC GENERAL 2026'!$H870</f>
        <v>40000</v>
      </c>
      <c r="K870" s="17"/>
      <c r="L870" s="16"/>
      <c r="M870" s="16"/>
      <c r="N870" s="16"/>
      <c r="O870" s="276" t="s">
        <v>1191</v>
      </c>
      <c r="P870" s="319"/>
    </row>
    <row r="871" spans="1:16" ht="15.75" customHeight="1">
      <c r="A871" s="16" t="s">
        <v>597</v>
      </c>
      <c r="B871" s="16" t="s">
        <v>1205</v>
      </c>
      <c r="C871" s="276" t="s">
        <v>138</v>
      </c>
      <c r="D871" s="149">
        <v>2</v>
      </c>
      <c r="E871" s="149"/>
      <c r="F871" s="149"/>
      <c r="G871" s="149"/>
      <c r="H871" s="67">
        <f>+Table_1[[#This Row],[Column7]]+Table_1[[#This Row],[Column6]]+Table_1[[#This Row],[Column5]]+Table_1[[#This Row],[Column4]]</f>
        <v>2</v>
      </c>
      <c r="I871" s="233">
        <v>650000</v>
      </c>
      <c r="J871" s="34">
        <f>'PACC GENERAL 2026'!$I871*'PACC GENERAL 2026'!$H871</f>
        <v>1300000</v>
      </c>
      <c r="K871" s="17"/>
      <c r="L871" s="16"/>
      <c r="M871" s="16"/>
      <c r="N871" s="16"/>
      <c r="O871" s="276" t="s">
        <v>1191</v>
      </c>
      <c r="P871" s="319"/>
    </row>
    <row r="872" spans="1:16" ht="15.75" customHeight="1">
      <c r="A872" s="16" t="s">
        <v>597</v>
      </c>
      <c r="B872" s="16" t="s">
        <v>1206</v>
      </c>
      <c r="C872" s="276" t="s">
        <v>138</v>
      </c>
      <c r="D872" s="149">
        <v>3</v>
      </c>
      <c r="E872" s="149"/>
      <c r="F872" s="149"/>
      <c r="G872" s="149"/>
      <c r="H872" s="67">
        <f>+Table_1[[#This Row],[Column7]]+Table_1[[#This Row],[Column6]]+Table_1[[#This Row],[Column5]]+Table_1[[#This Row],[Column4]]</f>
        <v>3</v>
      </c>
      <c r="I872" s="233">
        <v>15000</v>
      </c>
      <c r="J872" s="34">
        <f>'PACC GENERAL 2026'!$I872*'PACC GENERAL 2026'!$H872</f>
        <v>45000</v>
      </c>
      <c r="K872" s="17"/>
      <c r="L872" s="16"/>
      <c r="M872" s="16"/>
      <c r="N872" s="16"/>
      <c r="O872" s="276" t="s">
        <v>1191</v>
      </c>
      <c r="P872" s="319"/>
    </row>
    <row r="873" spans="1:16" ht="15.75" customHeight="1">
      <c r="A873" s="16" t="s">
        <v>597</v>
      </c>
      <c r="B873" s="16" t="s">
        <v>984</v>
      </c>
      <c r="C873" s="276" t="s">
        <v>138</v>
      </c>
      <c r="D873" s="149">
        <v>3</v>
      </c>
      <c r="E873" s="149"/>
      <c r="F873" s="149"/>
      <c r="G873" s="149"/>
      <c r="H873" s="67">
        <f>+Table_1[[#This Row],[Column7]]+Table_1[[#This Row],[Column6]]+Table_1[[#This Row],[Column5]]+Table_1[[#This Row],[Column4]]</f>
        <v>3</v>
      </c>
      <c r="I873" s="233">
        <v>100000</v>
      </c>
      <c r="J873" s="34">
        <f>'PACC GENERAL 2026'!$I873*'PACC GENERAL 2026'!$H873</f>
        <v>300000</v>
      </c>
      <c r="K873" s="17"/>
      <c r="L873" s="16"/>
      <c r="M873" s="16"/>
      <c r="N873" s="16"/>
      <c r="O873" s="276" t="s">
        <v>1191</v>
      </c>
      <c r="P873" s="319"/>
    </row>
    <row r="874" spans="1:16" ht="15.75" customHeight="1">
      <c r="A874" s="16" t="s">
        <v>597</v>
      </c>
      <c r="B874" s="16" t="s">
        <v>986</v>
      </c>
      <c r="C874" s="276" t="s">
        <v>138</v>
      </c>
      <c r="D874" s="149">
        <v>1</v>
      </c>
      <c r="E874" s="149"/>
      <c r="F874" s="149"/>
      <c r="G874" s="149"/>
      <c r="H874" s="67">
        <f>+Table_1[[#This Row],[Column7]]+Table_1[[#This Row],[Column6]]+Table_1[[#This Row],[Column5]]+Table_1[[#This Row],[Column4]]</f>
        <v>1</v>
      </c>
      <c r="I874" s="233">
        <v>100000</v>
      </c>
      <c r="J874" s="34">
        <f>'PACC GENERAL 2026'!$I874*'PACC GENERAL 2026'!$H874</f>
        <v>100000</v>
      </c>
      <c r="K874" s="17"/>
      <c r="L874" s="16"/>
      <c r="M874" s="16"/>
      <c r="N874" s="16"/>
      <c r="O874" s="276" t="s">
        <v>1191</v>
      </c>
      <c r="P874" s="319"/>
    </row>
    <row r="875" spans="1:16" s="97" customFormat="1" ht="15.5">
      <c r="A875" s="16" t="s">
        <v>597</v>
      </c>
      <c r="B875" s="174" t="s">
        <v>1219</v>
      </c>
      <c r="C875" s="179" t="s">
        <v>138</v>
      </c>
      <c r="D875" s="182">
        <v>2</v>
      </c>
      <c r="E875" s="194"/>
      <c r="F875" s="196"/>
      <c r="G875" s="182"/>
      <c r="H875" s="67">
        <f>+Table_1[[#This Row],[Column7]]+Table_1[[#This Row],[Column6]]+Table_1[[#This Row],[Column5]]+Table_1[[#This Row],[Column4]]</f>
        <v>2</v>
      </c>
      <c r="I875" s="177">
        <v>80000</v>
      </c>
      <c r="J875" s="34">
        <f>'PACC GENERAL 2026'!$I875*'PACC GENERAL 2026'!$H875</f>
        <v>160000</v>
      </c>
      <c r="K875" s="201"/>
      <c r="L875" s="174"/>
      <c r="M875" s="174"/>
      <c r="N875" s="174"/>
      <c r="O875" s="276" t="s">
        <v>1191</v>
      </c>
    </row>
    <row r="876" spans="1:16" ht="15.5">
      <c r="A876" s="9" t="s">
        <v>27</v>
      </c>
      <c r="B876" s="10"/>
      <c r="C876" s="10"/>
      <c r="D876" s="148"/>
      <c r="E876" s="148"/>
      <c r="F876" s="148"/>
      <c r="G876" s="152"/>
      <c r="H876" s="111"/>
      <c r="I876" s="44"/>
      <c r="J876" s="12"/>
      <c r="K876" s="13">
        <f>SUM(J841:J875)</f>
        <v>24169500</v>
      </c>
      <c r="L876" s="10"/>
      <c r="M876" s="10"/>
      <c r="N876" s="10"/>
      <c r="O876" s="73"/>
    </row>
    <row r="877" spans="1:16" s="97" customFormat="1" ht="15.5">
      <c r="A877" s="36" t="s">
        <v>629</v>
      </c>
      <c r="B877" s="31" t="s">
        <v>249</v>
      </c>
      <c r="C877" s="32" t="s">
        <v>138</v>
      </c>
      <c r="D877" s="133"/>
      <c r="E877" s="133"/>
      <c r="F877" s="133"/>
      <c r="G877" s="133"/>
      <c r="H877" s="67">
        <f>+Table_1[[#This Row],[Column7]]+Table_1[[#This Row],[Column6]]+Table_1[[#This Row],[Column5]]+Table_1[[#This Row],[Column4]]</f>
        <v>0</v>
      </c>
      <c r="I877" s="38">
        <v>600</v>
      </c>
      <c r="J877" s="34">
        <f>'PACC GENERAL 2026'!$I877*'PACC GENERAL 2026'!$H877</f>
        <v>0</v>
      </c>
      <c r="K877" s="40"/>
      <c r="L877" s="37"/>
      <c r="M877" s="86"/>
      <c r="N877" s="86"/>
      <c r="O877" s="32"/>
      <c r="P877" s="320"/>
    </row>
    <row r="878" spans="1:16" ht="15.5">
      <c r="A878" s="9" t="s">
        <v>629</v>
      </c>
      <c r="B878" s="10"/>
      <c r="C878" s="10"/>
      <c r="D878" s="148"/>
      <c r="E878" s="148"/>
      <c r="F878" s="148"/>
      <c r="G878" s="152"/>
      <c r="H878" s="111"/>
      <c r="I878" s="44"/>
      <c r="J878" s="12"/>
      <c r="K878" s="13">
        <f>+J877</f>
        <v>0</v>
      </c>
      <c r="L878" s="73"/>
      <c r="M878" s="10"/>
      <c r="N878" s="10"/>
      <c r="O878" s="73"/>
      <c r="P878" s="321"/>
    </row>
    <row r="879" spans="1:16" s="97" customFormat="1" ht="15.5">
      <c r="A879" s="31" t="s">
        <v>28</v>
      </c>
      <c r="B879" s="66" t="s">
        <v>508</v>
      </c>
      <c r="C879" s="32" t="s">
        <v>94</v>
      </c>
      <c r="D879" s="137"/>
      <c r="E879" s="138"/>
      <c r="F879" s="133"/>
      <c r="G879" s="140"/>
      <c r="H879" s="67">
        <f>+Table_1[[#This Row],[Column7]]+Table_1[[#This Row],[Column6]]+Table_1[[#This Row],[Column5]]+Table_1[[#This Row],[Column4]]</f>
        <v>0</v>
      </c>
      <c r="I879" s="125">
        <v>575000</v>
      </c>
      <c r="J879" s="34">
        <f>'PACC GENERAL 2026'!$I879*'PACC GENERAL 2026'!$H879</f>
        <v>0</v>
      </c>
      <c r="K879" s="34"/>
      <c r="L879" s="31"/>
      <c r="M879" s="31"/>
      <c r="N879" s="31"/>
      <c r="O879" s="32"/>
    </row>
    <row r="880" spans="1:16" s="97" customFormat="1" ht="15.5">
      <c r="A880" s="31" t="s">
        <v>28</v>
      </c>
      <c r="B880" s="66" t="s">
        <v>739</v>
      </c>
      <c r="C880" s="32" t="s">
        <v>138</v>
      </c>
      <c r="D880" s="137"/>
      <c r="E880" s="137"/>
      <c r="F880" s="133">
        <v>10</v>
      </c>
      <c r="G880" s="133"/>
      <c r="H880" s="67">
        <f>+Table_1[[#This Row],[Column7]]+Table_1[[#This Row],[Column6]]+Table_1[[#This Row],[Column5]]+Table_1[[#This Row],[Column4]]</f>
        <v>10</v>
      </c>
      <c r="I880" s="125">
        <v>1900</v>
      </c>
      <c r="J880" s="34">
        <f>'PACC GENERAL 2026'!$I880*'PACC GENERAL 2026'!$H880</f>
        <v>19000</v>
      </c>
      <c r="K880" s="34"/>
      <c r="L880" s="31"/>
      <c r="M880" s="31"/>
      <c r="N880" s="31"/>
      <c r="O880" s="32" t="s">
        <v>1101</v>
      </c>
      <c r="P880" s="320"/>
    </row>
    <row r="881" spans="1:16" s="97" customFormat="1" ht="15.5">
      <c r="A881" s="31" t="s">
        <v>28</v>
      </c>
      <c r="B881" s="66" t="s">
        <v>740</v>
      </c>
      <c r="C881" s="32" t="s">
        <v>94</v>
      </c>
      <c r="D881" s="137"/>
      <c r="E881" s="137"/>
      <c r="F881" s="133">
        <v>10</v>
      </c>
      <c r="G881" s="133"/>
      <c r="H881" s="67">
        <f>+Table_1[[#This Row],[Column7]]+Table_1[[#This Row],[Column6]]+Table_1[[#This Row],[Column5]]+Table_1[[#This Row],[Column4]]</f>
        <v>10</v>
      </c>
      <c r="I881" s="125">
        <v>2500</v>
      </c>
      <c r="J881" s="34">
        <f>'PACC GENERAL 2026'!$I881*'PACC GENERAL 2026'!$H881</f>
        <v>25000</v>
      </c>
      <c r="K881" s="34"/>
      <c r="L881" s="31"/>
      <c r="M881" s="31"/>
      <c r="N881" s="31"/>
      <c r="O881" s="32" t="s">
        <v>1101</v>
      </c>
      <c r="P881" s="320"/>
    </row>
    <row r="882" spans="1:16" s="97" customFormat="1" ht="15.5">
      <c r="A882" s="31" t="s">
        <v>28</v>
      </c>
      <c r="B882" s="66" t="s">
        <v>565</v>
      </c>
      <c r="C882" s="32" t="s">
        <v>94</v>
      </c>
      <c r="D882" s="137"/>
      <c r="E882" s="137"/>
      <c r="F882" s="137"/>
      <c r="G882" s="133"/>
      <c r="H882" s="67">
        <f>+Table_1[[#This Row],[Column7]]+Table_1[[#This Row],[Column6]]+Table_1[[#This Row],[Column5]]+Table_1[[#This Row],[Column4]]</f>
        <v>0</v>
      </c>
      <c r="I882" s="38">
        <v>6000</v>
      </c>
      <c r="J882" s="34">
        <f>+'PACC GENERAL 2026'!$H882*'PACC GENERAL 2026'!$I882</f>
        <v>0</v>
      </c>
      <c r="K882" s="34"/>
      <c r="L882" s="31"/>
      <c r="M882" s="31"/>
      <c r="N882" s="32"/>
      <c r="O882" s="32" t="s">
        <v>1001</v>
      </c>
      <c r="P882" s="320"/>
    </row>
    <row r="883" spans="1:16" s="97" customFormat="1" ht="21.65" customHeight="1">
      <c r="A883" s="48" t="s">
        <v>28</v>
      </c>
      <c r="B883" s="48" t="s">
        <v>565</v>
      </c>
      <c r="C883" s="32" t="s">
        <v>94</v>
      </c>
      <c r="D883" s="133"/>
      <c r="E883" s="137"/>
      <c r="F883" s="133"/>
      <c r="G883" s="133"/>
      <c r="H883" s="67">
        <f>+Table_1[[#This Row],[Column7]]+Table_1[[#This Row],[Column6]]+Table_1[[#This Row],[Column5]]+Table_1[[#This Row],[Column4]]</f>
        <v>0</v>
      </c>
      <c r="I883" s="77">
        <v>6000</v>
      </c>
      <c r="J883" s="34">
        <f>+'PACC GENERAL 2026'!$H883*'PACC GENERAL 2026'!$I883</f>
        <v>0</v>
      </c>
      <c r="K883" s="230"/>
      <c r="L883" s="48"/>
      <c r="M883" s="48"/>
      <c r="N883" s="48"/>
      <c r="O883" s="32" t="s">
        <v>1312</v>
      </c>
      <c r="P883" s="320"/>
    </row>
    <row r="884" spans="1:16" s="97" customFormat="1" ht="33.65" customHeight="1">
      <c r="A884" s="31" t="s">
        <v>28</v>
      </c>
      <c r="B884" s="31" t="s">
        <v>565</v>
      </c>
      <c r="C884" s="32" t="s">
        <v>94</v>
      </c>
      <c r="D884" s="133">
        <f>30+2</f>
        <v>32</v>
      </c>
      <c r="E884" s="137"/>
      <c r="F884" s="133">
        <f>4+10</f>
        <v>14</v>
      </c>
      <c r="G884" s="133"/>
      <c r="H884" s="67">
        <f>+Table_1[[#This Row],[Column7]]+Table_1[[#This Row],[Column6]]+Table_1[[#This Row],[Column5]]+Table_1[[#This Row],[Column4]]</f>
        <v>46</v>
      </c>
      <c r="I884" s="38">
        <v>6000</v>
      </c>
      <c r="J884" s="34">
        <f>'PACC GENERAL 2026'!$I884*'PACC GENERAL 2026'!$H884</f>
        <v>276000</v>
      </c>
      <c r="K884" s="34"/>
      <c r="L884" s="31"/>
      <c r="M884" s="31"/>
      <c r="N884" s="32"/>
      <c r="O884" s="32" t="s">
        <v>1511</v>
      </c>
      <c r="P884" s="320"/>
    </row>
    <row r="885" spans="1:16" s="97" customFormat="1" ht="15.75" customHeight="1">
      <c r="A885" s="31" t="s">
        <v>28</v>
      </c>
      <c r="B885" s="66" t="s">
        <v>1457</v>
      </c>
      <c r="C885" s="32" t="s">
        <v>93</v>
      </c>
      <c r="D885" s="137"/>
      <c r="E885" s="137"/>
      <c r="F885" s="137"/>
      <c r="G885" s="133"/>
      <c r="H885" s="67">
        <f>+Table_1[[#This Row],[Column7]]+Table_1[[#This Row],[Column6]]+Table_1[[#This Row],[Column5]]+Table_1[[#This Row],[Column4]]</f>
        <v>0</v>
      </c>
      <c r="I885" s="38">
        <v>52000</v>
      </c>
      <c r="J885" s="34">
        <f>+'PACC GENERAL 2026'!$H885*'PACC GENERAL 2026'!$I885</f>
        <v>0</v>
      </c>
      <c r="K885" s="34"/>
      <c r="L885" s="31"/>
      <c r="M885" s="31"/>
      <c r="N885" s="32"/>
      <c r="O885" s="32" t="s">
        <v>1001</v>
      </c>
      <c r="P885" s="320"/>
    </row>
    <row r="886" spans="1:16" s="97" customFormat="1" ht="15.75" customHeight="1">
      <c r="A886" s="48" t="s">
        <v>28</v>
      </c>
      <c r="B886" s="48" t="s">
        <v>1457</v>
      </c>
      <c r="C886" s="63" t="s">
        <v>93</v>
      </c>
      <c r="D886" s="155"/>
      <c r="E886" s="137"/>
      <c r="F886" s="155"/>
      <c r="G886" s="155"/>
      <c r="H886" s="67">
        <f>+Table_1[[#This Row],[Column7]]+Table_1[[#This Row],[Column6]]+Table_1[[#This Row],[Column5]]+Table_1[[#This Row],[Column4]]</f>
        <v>0</v>
      </c>
      <c r="I886" s="77">
        <v>52000</v>
      </c>
      <c r="J886" s="34">
        <f>+'PACC GENERAL 2026'!$H886*'PACC GENERAL 2026'!$I886</f>
        <v>0</v>
      </c>
      <c r="K886" s="230"/>
      <c r="L886" s="48"/>
      <c r="M886" s="48"/>
      <c r="N886" s="48"/>
      <c r="O886" s="32" t="s">
        <v>1312</v>
      </c>
      <c r="P886" s="320"/>
    </row>
    <row r="887" spans="1:16" s="97" customFormat="1" ht="34" customHeight="1">
      <c r="A887" s="31" t="s">
        <v>28</v>
      </c>
      <c r="B887" s="31" t="s">
        <v>1457</v>
      </c>
      <c r="C887" s="32" t="s">
        <v>93</v>
      </c>
      <c r="D887" s="133">
        <f>50+2</f>
        <v>52</v>
      </c>
      <c r="E887" s="137"/>
      <c r="F887" s="133">
        <f>2+50</f>
        <v>52</v>
      </c>
      <c r="G887" s="133"/>
      <c r="H887" s="67">
        <f>+Table_1[[#This Row],[Column7]]+Table_1[[#This Row],[Column6]]+Table_1[[#This Row],[Column5]]+Table_1[[#This Row],[Column4]]</f>
        <v>104</v>
      </c>
      <c r="I887" s="38">
        <v>52000</v>
      </c>
      <c r="J887" s="34">
        <f>'PACC GENERAL 2026'!$I887*'PACC GENERAL 2026'!$H887</f>
        <v>5408000</v>
      </c>
      <c r="K887" s="34"/>
      <c r="L887" s="31"/>
      <c r="M887" s="31"/>
      <c r="N887" s="32"/>
      <c r="O887" s="32" t="s">
        <v>1512</v>
      </c>
      <c r="P887" s="320"/>
    </row>
    <row r="888" spans="1:16" s="97" customFormat="1" ht="37.5" customHeight="1">
      <c r="A888" s="31" t="s">
        <v>28</v>
      </c>
      <c r="B888" s="31" t="s">
        <v>235</v>
      </c>
      <c r="C888" s="32" t="s">
        <v>94</v>
      </c>
      <c r="D888" s="133">
        <f>600+8+20</f>
        <v>628</v>
      </c>
      <c r="E888" s="137"/>
      <c r="F888" s="137">
        <v>500</v>
      </c>
      <c r="G888" s="133"/>
      <c r="H888" s="67">
        <f>+Table_1[[#This Row],[Column7]]+Table_1[[#This Row],[Column6]]+Table_1[[#This Row],[Column5]]+Table_1[[#This Row],[Column4]]</f>
        <v>1128</v>
      </c>
      <c r="I888" s="38">
        <v>650</v>
      </c>
      <c r="J888" s="34">
        <f>'PACC GENERAL 2026'!$I888*'PACC GENERAL 2026'!$H888</f>
        <v>733200</v>
      </c>
      <c r="K888" s="34"/>
      <c r="L888" s="31"/>
      <c r="M888" s="31"/>
      <c r="N888" s="32"/>
      <c r="O888" s="32" t="s">
        <v>1513</v>
      </c>
      <c r="P888" s="320"/>
    </row>
    <row r="889" spans="1:16" s="414" customFormat="1" ht="15.75" customHeight="1">
      <c r="A889" s="399" t="s">
        <v>28</v>
      </c>
      <c r="B889" s="399" t="s">
        <v>527</v>
      </c>
      <c r="C889" s="407" t="s">
        <v>94</v>
      </c>
      <c r="D889" s="480">
        <f>2+1</f>
        <v>3</v>
      </c>
      <c r="E889" s="483"/>
      <c r="F889" s="415"/>
      <c r="G889" s="415"/>
      <c r="H889" s="484">
        <f>+Table_1[[#This Row],[Column7]]+Table_1[[#This Row],[Column6]]+Table_1[[#This Row],[Column5]]+Table_1[[#This Row],[Column4]]</f>
        <v>3</v>
      </c>
      <c r="I889" s="274">
        <v>1200000</v>
      </c>
      <c r="J889" s="411">
        <f>+'PACC GENERAL 2026'!$H889*'PACC GENERAL 2026'!$I889</f>
        <v>3600000</v>
      </c>
      <c r="K889" s="411"/>
      <c r="L889" s="399"/>
      <c r="M889" s="399"/>
      <c r="N889" s="399"/>
      <c r="O889" s="407" t="s">
        <v>1677</v>
      </c>
      <c r="P889" s="413"/>
    </row>
    <row r="890" spans="1:16" s="287" customFormat="1" ht="14.5" customHeight="1">
      <c r="A890" s="36" t="s">
        <v>28</v>
      </c>
      <c r="B890" s="36" t="s">
        <v>527</v>
      </c>
      <c r="C890" s="37" t="s">
        <v>94</v>
      </c>
      <c r="D890" s="138"/>
      <c r="E890" s="138"/>
      <c r="F890" s="138"/>
      <c r="G890" s="138"/>
      <c r="H890" s="110">
        <f>+Table_1[[#This Row],[Column7]]+Table_1[[#This Row],[Column6]]+Table_1[[#This Row],[Column5]]+Table_1[[#This Row],[Column4]]</f>
        <v>0</v>
      </c>
      <c r="I890" s="38">
        <v>1200000</v>
      </c>
      <c r="J890" s="39">
        <f>'PACC GENERAL 2026'!$I890*'PACC GENERAL 2026'!$H890</f>
        <v>0</v>
      </c>
      <c r="K890" s="39"/>
      <c r="L890" s="36"/>
      <c r="M890" s="36"/>
      <c r="N890" s="37"/>
      <c r="O890" s="37" t="s">
        <v>1301</v>
      </c>
      <c r="P890" s="323"/>
    </row>
    <row r="891" spans="1:16" s="97" customFormat="1" ht="15.5">
      <c r="A891" s="48" t="s">
        <v>28</v>
      </c>
      <c r="B891" s="48" t="s">
        <v>934</v>
      </c>
      <c r="C891" s="32" t="s">
        <v>94</v>
      </c>
      <c r="D891" s="137"/>
      <c r="E891" s="133"/>
      <c r="F891" s="133">
        <v>2</v>
      </c>
      <c r="G891" s="133"/>
      <c r="H891" s="67">
        <f>+Table_1[[#This Row],[Column7]]+Table_1[[#This Row],[Column6]]+Table_1[[#This Row],[Column5]]+Table_1[[#This Row],[Column4]]</f>
        <v>2</v>
      </c>
      <c r="I891" s="77">
        <v>50000</v>
      </c>
      <c r="J891" s="34">
        <f t="shared" ref="J891:J899" si="21">H891*I891</f>
        <v>100000</v>
      </c>
      <c r="K891" s="230"/>
      <c r="L891" s="48"/>
      <c r="M891" s="48"/>
      <c r="N891" s="48"/>
      <c r="O891" s="32" t="s">
        <v>941</v>
      </c>
      <c r="P891" s="320"/>
    </row>
    <row r="892" spans="1:16" s="97" customFormat="1" ht="15.5">
      <c r="A892" s="48" t="s">
        <v>28</v>
      </c>
      <c r="B892" s="48" t="s">
        <v>935</v>
      </c>
      <c r="C892" s="32" t="s">
        <v>94</v>
      </c>
      <c r="D892" s="137"/>
      <c r="E892" s="133"/>
      <c r="F892" s="133">
        <v>1</v>
      </c>
      <c r="G892" s="133"/>
      <c r="H892" s="67">
        <f>+Table_1[[#This Row],[Column7]]+Table_1[[#This Row],[Column6]]+Table_1[[#This Row],[Column5]]+Table_1[[#This Row],[Column4]]</f>
        <v>1</v>
      </c>
      <c r="I892" s="77">
        <v>150000</v>
      </c>
      <c r="J892" s="34">
        <f t="shared" si="21"/>
        <v>150000</v>
      </c>
      <c r="K892" s="230"/>
      <c r="L892" s="48"/>
      <c r="M892" s="48"/>
      <c r="N892" s="48"/>
      <c r="O892" s="32" t="s">
        <v>941</v>
      </c>
      <c r="P892" s="320"/>
    </row>
    <row r="893" spans="1:16" s="97" customFormat="1" ht="15.5">
      <c r="A893" s="48" t="s">
        <v>28</v>
      </c>
      <c r="B893" s="48" t="s">
        <v>936</v>
      </c>
      <c r="C893" s="32" t="s">
        <v>94</v>
      </c>
      <c r="D893" s="137"/>
      <c r="E893" s="133"/>
      <c r="F893" s="133">
        <v>7</v>
      </c>
      <c r="G893" s="133"/>
      <c r="H893" s="67">
        <f>+Table_1[[#This Row],[Column7]]+Table_1[[#This Row],[Column6]]+Table_1[[#This Row],[Column5]]+Table_1[[#This Row],[Column4]]</f>
        <v>7</v>
      </c>
      <c r="I893" s="77">
        <v>6000</v>
      </c>
      <c r="J893" s="34">
        <f t="shared" si="21"/>
        <v>42000</v>
      </c>
      <c r="K893" s="230"/>
      <c r="L893" s="48"/>
      <c r="M893" s="48"/>
      <c r="N893" s="48"/>
      <c r="O893" s="32" t="s">
        <v>941</v>
      </c>
      <c r="P893" s="320"/>
    </row>
    <row r="894" spans="1:16" s="97" customFormat="1" ht="15.5">
      <c r="A894" s="48" t="s">
        <v>28</v>
      </c>
      <c r="B894" s="48" t="s">
        <v>940</v>
      </c>
      <c r="C894" s="32" t="s">
        <v>94</v>
      </c>
      <c r="D894" s="137"/>
      <c r="E894" s="133"/>
      <c r="F894" s="133">
        <v>8</v>
      </c>
      <c r="G894" s="133"/>
      <c r="H894" s="67">
        <f>+Table_1[[#This Row],[Column7]]+Table_1[[#This Row],[Column6]]+Table_1[[#This Row],[Column5]]+Table_1[[#This Row],[Column4]]</f>
        <v>8</v>
      </c>
      <c r="I894" s="77">
        <v>8000</v>
      </c>
      <c r="J894" s="34">
        <f t="shared" si="21"/>
        <v>64000</v>
      </c>
      <c r="K894" s="230"/>
      <c r="L894" s="48"/>
      <c r="M894" s="48"/>
      <c r="N894" s="48"/>
      <c r="O894" s="32" t="s">
        <v>941</v>
      </c>
      <c r="P894" s="320"/>
    </row>
    <row r="895" spans="1:16" s="97" customFormat="1" ht="15.5">
      <c r="A895" s="48" t="s">
        <v>28</v>
      </c>
      <c r="B895" s="48" t="s">
        <v>959</v>
      </c>
      <c r="C895" s="32" t="s">
        <v>93</v>
      </c>
      <c r="D895" s="137"/>
      <c r="E895" s="133"/>
      <c r="F895" s="133">
        <v>2</v>
      </c>
      <c r="G895" s="133"/>
      <c r="H895" s="67">
        <f>+Table_1[[#This Row],[Column7]]+Table_1[[#This Row],[Column6]]+Table_1[[#This Row],[Column5]]+Table_1[[#This Row],[Column4]]</f>
        <v>2</v>
      </c>
      <c r="I895" s="77">
        <v>16000</v>
      </c>
      <c r="J895" s="34">
        <f t="shared" si="21"/>
        <v>32000</v>
      </c>
      <c r="K895" s="230"/>
      <c r="L895" s="48"/>
      <c r="M895" s="48"/>
      <c r="N895" s="48"/>
      <c r="O895" s="32" t="s">
        <v>941</v>
      </c>
      <c r="P895" s="320"/>
    </row>
    <row r="896" spans="1:16" s="97" customFormat="1" ht="15.5">
      <c r="A896" s="48" t="s">
        <v>28</v>
      </c>
      <c r="B896" s="48" t="s">
        <v>960</v>
      </c>
      <c r="C896" s="32" t="s">
        <v>93</v>
      </c>
      <c r="D896" s="137"/>
      <c r="E896" s="133"/>
      <c r="F896" s="133">
        <v>2</v>
      </c>
      <c r="G896" s="133"/>
      <c r="H896" s="67">
        <f>+Table_1[[#This Row],[Column7]]+Table_1[[#This Row],[Column6]]+Table_1[[#This Row],[Column5]]+Table_1[[#This Row],[Column4]]</f>
        <v>2</v>
      </c>
      <c r="I896" s="77">
        <v>30000</v>
      </c>
      <c r="J896" s="34">
        <f t="shared" si="21"/>
        <v>60000</v>
      </c>
      <c r="K896" s="230"/>
      <c r="L896" s="48"/>
      <c r="M896" s="48"/>
      <c r="N896" s="48"/>
      <c r="O896" s="32" t="s">
        <v>941</v>
      </c>
      <c r="P896" s="320"/>
    </row>
    <row r="897" spans="1:16" s="97" customFormat="1" ht="15.5">
      <c r="A897" s="48" t="s">
        <v>28</v>
      </c>
      <c r="B897" s="48" t="s">
        <v>961</v>
      </c>
      <c r="C897" s="32" t="s">
        <v>93</v>
      </c>
      <c r="D897" s="137"/>
      <c r="E897" s="133"/>
      <c r="F897" s="133">
        <v>1</v>
      </c>
      <c r="G897" s="133"/>
      <c r="H897" s="67">
        <f>+Table_1[[#This Row],[Column7]]+Table_1[[#This Row],[Column6]]+Table_1[[#This Row],[Column5]]+Table_1[[#This Row],[Column4]]</f>
        <v>1</v>
      </c>
      <c r="I897" s="77">
        <v>1000000</v>
      </c>
      <c r="J897" s="34">
        <f t="shared" si="21"/>
        <v>1000000</v>
      </c>
      <c r="K897" s="230"/>
      <c r="L897" s="48"/>
      <c r="M897" s="48"/>
      <c r="N897" s="48"/>
      <c r="O897" s="32" t="s">
        <v>941</v>
      </c>
      <c r="P897" s="320"/>
    </row>
    <row r="898" spans="1:16" s="97" customFormat="1" ht="15.5">
      <c r="A898" s="48" t="s">
        <v>28</v>
      </c>
      <c r="B898" s="48" t="s">
        <v>962</v>
      </c>
      <c r="C898" s="32" t="s">
        <v>93</v>
      </c>
      <c r="D898" s="137"/>
      <c r="E898" s="133"/>
      <c r="F898" s="133">
        <v>4</v>
      </c>
      <c r="G898" s="133"/>
      <c r="H898" s="67">
        <f>+Table_1[[#This Row],[Column7]]+Table_1[[#This Row],[Column6]]+Table_1[[#This Row],[Column5]]+Table_1[[#This Row],[Column4]]</f>
        <v>4</v>
      </c>
      <c r="I898" s="77">
        <v>4000</v>
      </c>
      <c r="J898" s="34">
        <f t="shared" si="21"/>
        <v>16000</v>
      </c>
      <c r="K898" s="230"/>
      <c r="L898" s="48"/>
      <c r="M898" s="48"/>
      <c r="N898" s="48"/>
      <c r="O898" s="32" t="s">
        <v>941</v>
      </c>
      <c r="P898" s="320"/>
    </row>
    <row r="899" spans="1:16" s="97" customFormat="1" ht="15.5">
      <c r="A899" s="48" t="s">
        <v>28</v>
      </c>
      <c r="B899" s="48" t="s">
        <v>963</v>
      </c>
      <c r="C899" s="32" t="s">
        <v>93</v>
      </c>
      <c r="D899" s="137"/>
      <c r="E899" s="133"/>
      <c r="F899" s="133">
        <v>1</v>
      </c>
      <c r="G899" s="133"/>
      <c r="H899" s="67">
        <f>+Table_1[[#This Row],[Column7]]+Table_1[[#This Row],[Column6]]+Table_1[[#This Row],[Column5]]+Table_1[[#This Row],[Column4]]</f>
        <v>1</v>
      </c>
      <c r="I899" s="77">
        <v>25000</v>
      </c>
      <c r="J899" s="34">
        <f t="shared" si="21"/>
        <v>25000</v>
      </c>
      <c r="K899" s="230"/>
      <c r="L899" s="48"/>
      <c r="M899" s="48"/>
      <c r="N899" s="48"/>
      <c r="O899" s="32" t="s">
        <v>941</v>
      </c>
      <c r="P899" s="320"/>
    </row>
    <row r="900" spans="1:16" s="97" customFormat="1" ht="15.5">
      <c r="A900" s="31" t="s">
        <v>28</v>
      </c>
      <c r="B900" s="31" t="s">
        <v>241</v>
      </c>
      <c r="C900" s="32" t="s">
        <v>94</v>
      </c>
      <c r="D900" s="137"/>
      <c r="E900" s="137"/>
      <c r="F900" s="133">
        <v>50000</v>
      </c>
      <c r="G900" s="133"/>
      <c r="H900" s="67">
        <f>+Table_1[[#This Row],[Column7]]+Table_1[[#This Row],[Column6]]+Table_1[[#This Row],[Column5]]+Table_1[[#This Row],[Column4]]</f>
        <v>50000</v>
      </c>
      <c r="I900" s="38">
        <v>3</v>
      </c>
      <c r="J900" s="34">
        <f>'PACC GENERAL 2026'!$I900*'PACC GENERAL 2026'!$H900</f>
        <v>150000</v>
      </c>
      <c r="K900" s="34"/>
      <c r="L900" s="31"/>
      <c r="M900" s="31"/>
      <c r="N900" s="32"/>
      <c r="O900" s="32" t="s">
        <v>414</v>
      </c>
    </row>
    <row r="901" spans="1:16" s="97" customFormat="1" ht="14.25" customHeight="1">
      <c r="A901" s="31" t="s">
        <v>28</v>
      </c>
      <c r="B901" s="31" t="s">
        <v>994</v>
      </c>
      <c r="C901" s="32" t="s">
        <v>138</v>
      </c>
      <c r="D901" s="137"/>
      <c r="E901" s="137"/>
      <c r="F901" s="133">
        <v>1</v>
      </c>
      <c r="G901" s="133"/>
      <c r="H901" s="67">
        <f>+Table_1[[#This Row],[Column7]]+Table_1[[#This Row],[Column6]]+Table_1[[#This Row],[Column5]]+Table_1[[#This Row],[Column4]]</f>
        <v>1</v>
      </c>
      <c r="I901" s="38">
        <v>7200</v>
      </c>
      <c r="J901" s="34">
        <f>I901*H901</f>
        <v>7200</v>
      </c>
      <c r="K901" s="34"/>
      <c r="L901" s="31"/>
      <c r="M901" s="31"/>
      <c r="N901" s="32"/>
      <c r="O901" s="32" t="s">
        <v>414</v>
      </c>
      <c r="P901" s="320"/>
    </row>
    <row r="902" spans="1:16" s="97" customFormat="1" ht="14.25" customHeight="1">
      <c r="A902" s="31" t="s">
        <v>28</v>
      </c>
      <c r="B902" s="31" t="s">
        <v>995</v>
      </c>
      <c r="C902" s="32" t="s">
        <v>138</v>
      </c>
      <c r="D902" s="137"/>
      <c r="E902" s="137"/>
      <c r="F902" s="133">
        <v>1</v>
      </c>
      <c r="G902" s="133"/>
      <c r="H902" s="67">
        <f>+Table_1[[#This Row],[Column7]]+Table_1[[#This Row],[Column6]]+Table_1[[#This Row],[Column5]]+Table_1[[#This Row],[Column4]]</f>
        <v>1</v>
      </c>
      <c r="I902" s="38">
        <v>7200</v>
      </c>
      <c r="J902" s="34">
        <f t="shared" ref="J902:J903" si="22">I902*H902</f>
        <v>7200</v>
      </c>
      <c r="K902" s="34"/>
      <c r="L902" s="31"/>
      <c r="M902" s="31"/>
      <c r="N902" s="32"/>
      <c r="O902" s="32" t="s">
        <v>414</v>
      </c>
      <c r="P902" s="320"/>
    </row>
    <row r="903" spans="1:16" s="97" customFormat="1" ht="14.25" customHeight="1">
      <c r="A903" s="31" t="s">
        <v>28</v>
      </c>
      <c r="B903" s="31" t="s">
        <v>996</v>
      </c>
      <c r="C903" s="32" t="s">
        <v>138</v>
      </c>
      <c r="D903" s="137"/>
      <c r="E903" s="137"/>
      <c r="F903" s="133">
        <v>1</v>
      </c>
      <c r="G903" s="133"/>
      <c r="H903" s="67">
        <f>+Table_1[[#This Row],[Column7]]+Table_1[[#This Row],[Column6]]+Table_1[[#This Row],[Column5]]+Table_1[[#This Row],[Column4]]</f>
        <v>1</v>
      </c>
      <c r="I903" s="38">
        <v>160000</v>
      </c>
      <c r="J903" s="34">
        <f t="shared" si="22"/>
        <v>160000</v>
      </c>
      <c r="K903" s="34"/>
      <c r="L903" s="31"/>
      <c r="M903" s="31"/>
      <c r="N903" s="32"/>
      <c r="O903" s="32" t="s">
        <v>414</v>
      </c>
      <c r="P903" s="320"/>
    </row>
    <row r="904" spans="1:16" s="97" customFormat="1" ht="14.25" customHeight="1">
      <c r="A904" s="31" t="s">
        <v>28</v>
      </c>
      <c r="B904" s="31" t="s">
        <v>201</v>
      </c>
      <c r="C904" s="32" t="s">
        <v>199</v>
      </c>
      <c r="D904" s="133">
        <v>1</v>
      </c>
      <c r="E904" s="137"/>
      <c r="F904" s="133"/>
      <c r="G904" s="133"/>
      <c r="H904" s="67">
        <f>+Table_1[[#This Row],[Column7]]+Table_1[[#This Row],[Column6]]+Table_1[[#This Row],[Column5]]+Table_1[[#This Row],[Column4]]</f>
        <v>1</v>
      </c>
      <c r="I904" s="38">
        <v>166000</v>
      </c>
      <c r="J904" s="34">
        <f>'PACC GENERAL 2026'!$I904*'PACC GENERAL 2026'!$H904</f>
        <v>166000</v>
      </c>
      <c r="K904" s="34"/>
      <c r="L904" s="31"/>
      <c r="M904" s="31"/>
      <c r="N904" s="32"/>
      <c r="O904" s="32" t="s">
        <v>1191</v>
      </c>
      <c r="P904" s="320"/>
    </row>
    <row r="905" spans="1:16" s="97" customFormat="1" ht="14.25" customHeight="1">
      <c r="A905" s="31" t="s">
        <v>28</v>
      </c>
      <c r="B905" s="31" t="s">
        <v>600</v>
      </c>
      <c r="C905" s="32" t="s">
        <v>94</v>
      </c>
      <c r="D905" s="133">
        <f>1-1</f>
        <v>0</v>
      </c>
      <c r="E905" s="137"/>
      <c r="F905" s="133"/>
      <c r="G905" s="133"/>
      <c r="H905" s="67">
        <f>+Table_1[[#This Row],[Column7]]+Table_1[[#This Row],[Column6]]+Table_1[[#This Row],[Column5]]+Table_1[[#This Row],[Column4]]</f>
        <v>0</v>
      </c>
      <c r="I905" s="38">
        <v>130000</v>
      </c>
      <c r="J905" s="34">
        <f>'PACC GENERAL 2026'!$I905*'PACC GENERAL 2026'!$H905</f>
        <v>0</v>
      </c>
      <c r="K905" s="34"/>
      <c r="L905" s="31"/>
      <c r="M905" s="31"/>
      <c r="N905" s="32"/>
      <c r="O905" s="32" t="s">
        <v>1191</v>
      </c>
      <c r="P905" s="320"/>
    </row>
    <row r="906" spans="1:16" s="287" customFormat="1" ht="15.5">
      <c r="A906" s="36" t="s">
        <v>28</v>
      </c>
      <c r="B906" s="36" t="s">
        <v>1304</v>
      </c>
      <c r="C906" s="37" t="s">
        <v>94</v>
      </c>
      <c r="D906" s="138">
        <v>8</v>
      </c>
      <c r="E906" s="213"/>
      <c r="F906" s="138"/>
      <c r="G906" s="138"/>
      <c r="H906" s="110">
        <f>+Table_1[[#This Row],[Column7]]+Table_1[[#This Row],[Column6]]+Table_1[[#This Row],[Column5]]+Table_1[[#This Row],[Column4]]</f>
        <v>8</v>
      </c>
      <c r="I906" s="38">
        <v>54500</v>
      </c>
      <c r="J906" s="39">
        <f>'PACC GENERAL 2026'!$I906*'PACC GENERAL 2026'!$H906</f>
        <v>436000</v>
      </c>
      <c r="K906" s="39"/>
      <c r="L906" s="36"/>
      <c r="M906" s="36"/>
      <c r="N906" s="37"/>
      <c r="O906" s="37" t="s">
        <v>1301</v>
      </c>
      <c r="P906" s="323"/>
    </row>
    <row r="907" spans="1:16" s="97" customFormat="1" ht="14.25" customHeight="1">
      <c r="A907" s="31" t="s">
        <v>28</v>
      </c>
      <c r="B907" s="31" t="s">
        <v>789</v>
      </c>
      <c r="C907" s="32" t="s">
        <v>94</v>
      </c>
      <c r="D907" s="133">
        <v>8</v>
      </c>
      <c r="E907" s="137"/>
      <c r="F907" s="133">
        <v>8</v>
      </c>
      <c r="G907" s="133"/>
      <c r="H907" s="67">
        <f>+Table_1[[#This Row],[Column7]]+Table_1[[#This Row],[Column6]]+Table_1[[#This Row],[Column5]]+Table_1[[#This Row],[Column4]]</f>
        <v>16</v>
      </c>
      <c r="I907" s="38">
        <v>12000</v>
      </c>
      <c r="J907" s="34">
        <f>'PACC GENERAL 2026'!$I907*'PACC GENERAL 2026'!$H907</f>
        <v>192000</v>
      </c>
      <c r="K907" s="34"/>
      <c r="L907" s="31"/>
      <c r="M907" s="31"/>
      <c r="N907" s="32"/>
      <c r="O907" s="32" t="s">
        <v>1489</v>
      </c>
      <c r="P907" s="320"/>
    </row>
    <row r="908" spans="1:16" s="97" customFormat="1" ht="14.25" customHeight="1">
      <c r="A908" s="31" t="s">
        <v>28</v>
      </c>
      <c r="B908" s="31" t="s">
        <v>603</v>
      </c>
      <c r="C908" s="32" t="s">
        <v>199</v>
      </c>
      <c r="D908" s="133">
        <v>6</v>
      </c>
      <c r="E908" s="137"/>
      <c r="F908" s="133">
        <v>1</v>
      </c>
      <c r="G908" s="133"/>
      <c r="H908" s="67">
        <f>+Table_1[[#This Row],[Column7]]+Table_1[[#This Row],[Column6]]+Table_1[[#This Row],[Column5]]+Table_1[[#This Row],[Column4]]</f>
        <v>7</v>
      </c>
      <c r="I908" s="38">
        <v>65000</v>
      </c>
      <c r="J908" s="34">
        <f>'PACC GENERAL 2026'!$I908*'PACC GENERAL 2026'!$H908</f>
        <v>455000</v>
      </c>
      <c r="K908" s="34"/>
      <c r="L908" s="31"/>
      <c r="M908" s="31"/>
      <c r="N908" s="32"/>
      <c r="O908" s="32" t="s">
        <v>1458</v>
      </c>
      <c r="P908" s="320"/>
    </row>
    <row r="909" spans="1:16" s="97" customFormat="1" ht="20.5" customHeight="1">
      <c r="A909" s="31" t="s">
        <v>28</v>
      </c>
      <c r="B909" s="31" t="s">
        <v>528</v>
      </c>
      <c r="C909" s="32" t="s">
        <v>94</v>
      </c>
      <c r="D909" s="133">
        <v>15</v>
      </c>
      <c r="E909" s="133"/>
      <c r="F909" s="133"/>
      <c r="G909" s="133"/>
      <c r="H909" s="67">
        <f>+Table_1[[#This Row],[Column7]]+Table_1[[#This Row],[Column6]]+Table_1[[#This Row],[Column5]]+Table_1[[#This Row],[Column4]]</f>
        <v>15</v>
      </c>
      <c r="I909" s="38">
        <v>28000</v>
      </c>
      <c r="J909" s="34">
        <f>'PACC GENERAL 2026'!$I909*'PACC GENERAL 2026'!$H909</f>
        <v>420000</v>
      </c>
      <c r="K909" s="34"/>
      <c r="L909" s="31"/>
      <c r="M909" s="31"/>
      <c r="N909" s="32"/>
      <c r="O909" s="32" t="s">
        <v>1191</v>
      </c>
      <c r="P909" s="320"/>
    </row>
    <row r="910" spans="1:16" s="97" customFormat="1" ht="14.25" customHeight="1">
      <c r="A910" s="31" t="s">
        <v>28</v>
      </c>
      <c r="B910" s="31" t="s">
        <v>1207</v>
      </c>
      <c r="C910" s="32" t="s">
        <v>138</v>
      </c>
      <c r="D910" s="133">
        <v>2</v>
      </c>
      <c r="E910" s="133"/>
      <c r="F910" s="133"/>
      <c r="G910" s="133"/>
      <c r="H910" s="67">
        <f>+Table_1[[#This Row],[Column7]]+Table_1[[#This Row],[Column6]]+Table_1[[#This Row],[Column5]]+Table_1[[#This Row],[Column4]]</f>
        <v>2</v>
      </c>
      <c r="I910" s="38">
        <v>15000</v>
      </c>
      <c r="J910" s="34">
        <f>'PACC GENERAL 2026'!$I910*'PACC GENERAL 2026'!$H910</f>
        <v>30000</v>
      </c>
      <c r="K910" s="34"/>
      <c r="L910" s="31"/>
      <c r="M910" s="31"/>
      <c r="N910" s="32"/>
      <c r="O910" s="32" t="s">
        <v>1191</v>
      </c>
      <c r="P910" s="320"/>
    </row>
    <row r="911" spans="1:16" s="97" customFormat="1" ht="14.25" customHeight="1">
      <c r="A911" s="31" t="s">
        <v>28</v>
      </c>
      <c r="B911" s="31" t="s">
        <v>604</v>
      </c>
      <c r="C911" s="32" t="s">
        <v>199</v>
      </c>
      <c r="D911" s="133">
        <v>2</v>
      </c>
      <c r="E911" s="133"/>
      <c r="F911" s="133"/>
      <c r="G911" s="133"/>
      <c r="H911" s="67">
        <f>+Table_1[[#This Row],[Column7]]+Table_1[[#This Row],[Column6]]+Table_1[[#This Row],[Column5]]+Table_1[[#This Row],[Column4]]</f>
        <v>2</v>
      </c>
      <c r="I911" s="38">
        <v>280000</v>
      </c>
      <c r="J911" s="34">
        <f>'PACC GENERAL 2026'!$I911*'PACC GENERAL 2026'!$H911</f>
        <v>560000</v>
      </c>
      <c r="K911" s="34"/>
      <c r="L911" s="31"/>
      <c r="M911" s="31"/>
      <c r="N911" s="32"/>
      <c r="O911" s="32" t="s">
        <v>1191</v>
      </c>
      <c r="P911" s="320"/>
    </row>
    <row r="912" spans="1:16" s="97" customFormat="1" ht="28.5" customHeight="1">
      <c r="A912" s="31" t="s">
        <v>28</v>
      </c>
      <c r="B912" s="31" t="s">
        <v>605</v>
      </c>
      <c r="C912" s="32" t="s">
        <v>199</v>
      </c>
      <c r="D912" s="133">
        <f>30+1</f>
        <v>31</v>
      </c>
      <c r="E912" s="137"/>
      <c r="F912" s="133">
        <v>10</v>
      </c>
      <c r="G912" s="133"/>
      <c r="H912" s="67">
        <f>+Table_1[[#This Row],[Column7]]+Table_1[[#This Row],[Column6]]+Table_1[[#This Row],[Column5]]+Table_1[[#This Row],[Column4]]</f>
        <v>41</v>
      </c>
      <c r="I912" s="38">
        <v>255000</v>
      </c>
      <c r="J912" s="34">
        <f>'PACC GENERAL 2026'!$I912*'PACC GENERAL 2026'!$H912</f>
        <v>10455000</v>
      </c>
      <c r="K912" s="34"/>
      <c r="L912" s="31"/>
      <c r="M912" s="31"/>
      <c r="N912" s="32"/>
      <c r="O912" s="32" t="s">
        <v>1514</v>
      </c>
      <c r="P912" s="320"/>
    </row>
    <row r="913" spans="1:16" s="97" customFormat="1" ht="29.5" customHeight="1">
      <c r="A913" s="31" t="s">
        <v>28</v>
      </c>
      <c r="B913" s="31" t="s">
        <v>808</v>
      </c>
      <c r="C913" s="32" t="s">
        <v>138</v>
      </c>
      <c r="D913" s="133">
        <f>20+5</f>
        <v>25</v>
      </c>
      <c r="E913" s="137"/>
      <c r="F913" s="133">
        <v>15</v>
      </c>
      <c r="G913" s="133"/>
      <c r="H913" s="67">
        <f>+Table_1[[#This Row],[Column7]]+Table_1[[#This Row],[Column6]]+Table_1[[#This Row],[Column5]]+Table_1[[#This Row],[Column4]]</f>
        <v>40</v>
      </c>
      <c r="I913" s="38">
        <v>96000</v>
      </c>
      <c r="J913" s="34">
        <f>'PACC GENERAL 2026'!$I913*'PACC GENERAL 2026'!$H913</f>
        <v>3840000</v>
      </c>
      <c r="K913" s="34"/>
      <c r="L913" s="31"/>
      <c r="M913" s="31"/>
      <c r="N913" s="32"/>
      <c r="O913" s="32" t="s">
        <v>1515</v>
      </c>
      <c r="P913" s="320"/>
    </row>
    <row r="914" spans="1:16" s="97" customFormat="1" ht="14.25" customHeight="1">
      <c r="A914" s="31" t="s">
        <v>28</v>
      </c>
      <c r="B914" s="31" t="s">
        <v>606</v>
      </c>
      <c r="C914" s="32" t="s">
        <v>199</v>
      </c>
      <c r="D914" s="133">
        <v>3</v>
      </c>
      <c r="E914" s="133"/>
      <c r="F914" s="133"/>
      <c r="G914" s="133"/>
      <c r="H914" s="67">
        <f>+Table_1[[#This Row],[Column7]]+Table_1[[#This Row],[Column6]]+Table_1[[#This Row],[Column5]]+Table_1[[#This Row],[Column4]]</f>
        <v>3</v>
      </c>
      <c r="I914" s="38">
        <v>140000</v>
      </c>
      <c r="J914" s="34">
        <f>'PACC GENERAL 2026'!$I914*'PACC GENERAL 2026'!$H914</f>
        <v>420000</v>
      </c>
      <c r="K914" s="34"/>
      <c r="L914" s="31"/>
      <c r="M914" s="31"/>
      <c r="N914" s="32"/>
      <c r="O914" s="32" t="s">
        <v>1191</v>
      </c>
      <c r="P914" s="320"/>
    </row>
    <row r="915" spans="1:16" s="97" customFormat="1" ht="14.25" customHeight="1">
      <c r="A915" s="31" t="s">
        <v>28</v>
      </c>
      <c r="B915" s="31" t="s">
        <v>1208</v>
      </c>
      <c r="C915" s="32" t="s">
        <v>138</v>
      </c>
      <c r="D915" s="133">
        <v>1</v>
      </c>
      <c r="E915" s="133"/>
      <c r="F915" s="133"/>
      <c r="G915" s="133"/>
      <c r="H915" s="67">
        <f>+Table_1[[#This Row],[Column7]]+Table_1[[#This Row],[Column6]]+Table_1[[#This Row],[Column5]]+Table_1[[#This Row],[Column4]]</f>
        <v>1</v>
      </c>
      <c r="I915" s="38">
        <v>180000</v>
      </c>
      <c r="J915" s="34">
        <f>'PACC GENERAL 2026'!$I915*'PACC GENERAL 2026'!$H915</f>
        <v>180000</v>
      </c>
      <c r="K915" s="34"/>
      <c r="L915" s="31"/>
      <c r="M915" s="31"/>
      <c r="N915" s="32"/>
      <c r="O915" s="32" t="s">
        <v>1191</v>
      </c>
      <c r="P915" s="320"/>
    </row>
    <row r="916" spans="1:16" s="97" customFormat="1" ht="14.25" customHeight="1">
      <c r="A916" s="31" t="s">
        <v>28</v>
      </c>
      <c r="B916" s="31" t="s">
        <v>1209</v>
      </c>
      <c r="C916" s="32" t="s">
        <v>138</v>
      </c>
      <c r="D916" s="133">
        <v>15</v>
      </c>
      <c r="E916" s="133"/>
      <c r="F916" s="133"/>
      <c r="G916" s="133"/>
      <c r="H916" s="67">
        <f>+Table_1[[#This Row],[Column7]]+Table_1[[#This Row],[Column6]]+Table_1[[#This Row],[Column5]]+Table_1[[#This Row],[Column4]]</f>
        <v>15</v>
      </c>
      <c r="I916" s="38">
        <v>8500</v>
      </c>
      <c r="J916" s="34">
        <f>'PACC GENERAL 2026'!$I916*'PACC GENERAL 2026'!$H916</f>
        <v>127500</v>
      </c>
      <c r="K916" s="34"/>
      <c r="L916" s="31"/>
      <c r="M916" s="31"/>
      <c r="N916" s="32"/>
      <c r="O916" s="32" t="s">
        <v>1191</v>
      </c>
      <c r="P916" s="320"/>
    </row>
    <row r="917" spans="1:16" s="97" customFormat="1" ht="14.25" customHeight="1">
      <c r="A917" s="31" t="s">
        <v>28</v>
      </c>
      <c r="B917" s="31" t="s">
        <v>795</v>
      </c>
      <c r="C917" s="32" t="s">
        <v>94</v>
      </c>
      <c r="D917" s="133">
        <v>100</v>
      </c>
      <c r="E917" s="137"/>
      <c r="F917" s="133">
        <v>100</v>
      </c>
      <c r="G917" s="133"/>
      <c r="H917" s="67">
        <f>+Table_1[[#This Row],[Column7]]+Table_1[[#This Row],[Column6]]+Table_1[[#This Row],[Column5]]+Table_1[[#This Row],[Column4]]</f>
        <v>200</v>
      </c>
      <c r="I917" s="38">
        <v>139</v>
      </c>
      <c r="J917" s="34">
        <f>'PACC GENERAL 2026'!$I917*'PACC GENERAL 2026'!$H917</f>
        <v>27800</v>
      </c>
      <c r="K917" s="34"/>
      <c r="L917" s="31"/>
      <c r="M917" s="31"/>
      <c r="N917" s="32"/>
      <c r="O917" s="32" t="s">
        <v>1489</v>
      </c>
      <c r="P917" s="320"/>
    </row>
    <row r="918" spans="1:16" s="97" customFormat="1" ht="14.25" customHeight="1">
      <c r="A918" s="31" t="s">
        <v>28</v>
      </c>
      <c r="B918" s="31" t="s">
        <v>796</v>
      </c>
      <c r="C918" s="32" t="s">
        <v>94</v>
      </c>
      <c r="D918" s="133">
        <v>100</v>
      </c>
      <c r="E918" s="137"/>
      <c r="F918" s="133">
        <v>100</v>
      </c>
      <c r="G918" s="133"/>
      <c r="H918" s="67">
        <f>+Table_1[[#This Row],[Column7]]+Table_1[[#This Row],[Column6]]+Table_1[[#This Row],[Column5]]+Table_1[[#This Row],[Column4]]</f>
        <v>200</v>
      </c>
      <c r="I918" s="38">
        <v>300</v>
      </c>
      <c r="J918" s="34">
        <f>'PACC GENERAL 2026'!$I918*'PACC GENERAL 2026'!$H918</f>
        <v>60000</v>
      </c>
      <c r="K918" s="34"/>
      <c r="L918" s="31"/>
      <c r="M918" s="31"/>
      <c r="N918" s="32"/>
      <c r="O918" s="32" t="s">
        <v>1489</v>
      </c>
      <c r="P918" s="320"/>
    </row>
    <row r="919" spans="1:16" s="97" customFormat="1" ht="14.25" customHeight="1">
      <c r="A919" s="31" t="s">
        <v>28</v>
      </c>
      <c r="B919" s="31" t="s">
        <v>797</v>
      </c>
      <c r="C919" s="32" t="s">
        <v>94</v>
      </c>
      <c r="D919" s="133">
        <v>100</v>
      </c>
      <c r="E919" s="137"/>
      <c r="F919" s="133">
        <v>100</v>
      </c>
      <c r="G919" s="133"/>
      <c r="H919" s="67">
        <f>+Table_1[[#This Row],[Column7]]+Table_1[[#This Row],[Column6]]+Table_1[[#This Row],[Column5]]+Table_1[[#This Row],[Column4]]</f>
        <v>200</v>
      </c>
      <c r="I919" s="38">
        <v>300</v>
      </c>
      <c r="J919" s="34">
        <f>'PACC GENERAL 2026'!$I919*'PACC GENERAL 2026'!$H919</f>
        <v>60000</v>
      </c>
      <c r="K919" s="34"/>
      <c r="L919" s="31"/>
      <c r="M919" s="31"/>
      <c r="N919" s="32"/>
      <c r="O919" s="32" t="s">
        <v>1489</v>
      </c>
      <c r="P919" s="320"/>
    </row>
    <row r="920" spans="1:16" s="97" customFormat="1" ht="14.25" customHeight="1">
      <c r="A920" s="31" t="s">
        <v>28</v>
      </c>
      <c r="B920" s="31" t="s">
        <v>788</v>
      </c>
      <c r="C920" s="32" t="s">
        <v>94</v>
      </c>
      <c r="D920" s="133">
        <v>2</v>
      </c>
      <c r="E920" s="137"/>
      <c r="F920" s="133">
        <v>2</v>
      </c>
      <c r="G920" s="133"/>
      <c r="H920" s="67">
        <f>+Table_1[[#This Row],[Column7]]+Table_1[[#This Row],[Column6]]+Table_1[[#This Row],[Column5]]+Table_1[[#This Row],[Column4]]</f>
        <v>4</v>
      </c>
      <c r="I920" s="38">
        <v>35000</v>
      </c>
      <c r="J920" s="34">
        <f>'PACC GENERAL 2026'!$I920*'PACC GENERAL 2026'!$H920</f>
        <v>140000</v>
      </c>
      <c r="K920" s="34"/>
      <c r="L920" s="31"/>
      <c r="M920" s="31"/>
      <c r="N920" s="32"/>
      <c r="O920" s="32" t="s">
        <v>1489</v>
      </c>
      <c r="P920" s="320"/>
    </row>
    <row r="921" spans="1:16" s="97" customFormat="1" ht="15.5">
      <c r="A921" s="31" t="s">
        <v>28</v>
      </c>
      <c r="B921" s="66" t="s">
        <v>788</v>
      </c>
      <c r="C921" s="32" t="s">
        <v>94</v>
      </c>
      <c r="D921" s="133"/>
      <c r="E921" s="137"/>
      <c r="F921" s="133"/>
      <c r="G921" s="133"/>
      <c r="H921" s="67">
        <f>+Table_1[[#This Row],[Column7]]+Table_1[[#This Row],[Column6]]+Table_1[[#This Row],[Column5]]+Table_1[[#This Row],[Column4]]</f>
        <v>0</v>
      </c>
      <c r="I921" s="33">
        <v>35000</v>
      </c>
      <c r="J921" s="34">
        <f>+'PACC GENERAL 2026'!$H921*'PACC GENERAL 2026'!$I921</f>
        <v>0</v>
      </c>
      <c r="K921" s="34"/>
      <c r="L921" s="31"/>
      <c r="M921" s="31"/>
      <c r="N921" s="32"/>
      <c r="O921" s="32"/>
    </row>
    <row r="922" spans="1:16" s="97" customFormat="1" ht="14.25" customHeight="1">
      <c r="A922" s="31" t="s">
        <v>28</v>
      </c>
      <c r="B922" s="31" t="s">
        <v>592</v>
      </c>
      <c r="C922" s="32" t="s">
        <v>94</v>
      </c>
      <c r="D922" s="133">
        <v>5</v>
      </c>
      <c r="E922" s="133"/>
      <c r="F922" s="133"/>
      <c r="G922" s="133"/>
      <c r="H922" s="67">
        <f>+Table_1[[#This Row],[Column7]]+Table_1[[#This Row],[Column6]]+Table_1[[#This Row],[Column5]]+Table_1[[#This Row],[Column4]]</f>
        <v>5</v>
      </c>
      <c r="I922" s="38">
        <v>600</v>
      </c>
      <c r="J922" s="34">
        <f>'PACC GENERAL 2026'!$I922*'PACC GENERAL 2026'!$H922</f>
        <v>3000</v>
      </c>
      <c r="K922" s="34"/>
      <c r="L922" s="31"/>
      <c r="M922" s="31"/>
      <c r="N922" s="32"/>
      <c r="O922" s="32" t="s">
        <v>1301</v>
      </c>
      <c r="P922" s="320"/>
    </row>
    <row r="923" spans="1:16" s="97" customFormat="1" ht="15.5">
      <c r="A923" s="31" t="s">
        <v>28</v>
      </c>
      <c r="B923" s="31" t="s">
        <v>1305</v>
      </c>
      <c r="C923" s="32" t="s">
        <v>94</v>
      </c>
      <c r="D923" s="133">
        <v>8</v>
      </c>
      <c r="E923" s="133"/>
      <c r="F923" s="133"/>
      <c r="G923" s="137"/>
      <c r="H923" s="67">
        <f>+Table_1[[#This Row],[Column7]]+Table_1[[#This Row],[Column6]]+Table_1[[#This Row],[Column5]]+Table_1[[#This Row],[Column4]]</f>
        <v>8</v>
      </c>
      <c r="I923" s="38">
        <v>17000</v>
      </c>
      <c r="J923" s="34">
        <f>'PACC GENERAL 2026'!$I923*'PACC GENERAL 2026'!$H923</f>
        <v>136000</v>
      </c>
      <c r="K923" s="35"/>
      <c r="L923" s="32"/>
      <c r="M923" s="31"/>
      <c r="N923" s="32"/>
      <c r="O923" s="32" t="s">
        <v>1301</v>
      </c>
      <c r="P923" s="320"/>
    </row>
    <row r="924" spans="1:16" s="418" customFormat="1" ht="15.5">
      <c r="A924" s="428" t="s">
        <v>28</v>
      </c>
      <c r="B924" s="429" t="s">
        <v>1127</v>
      </c>
      <c r="C924" s="426" t="s">
        <v>93</v>
      </c>
      <c r="D924" s="416"/>
      <c r="E924" s="416"/>
      <c r="F924" s="441">
        <f>10+10</f>
        <v>20</v>
      </c>
      <c r="G924" s="430"/>
      <c r="H924" s="410">
        <f>+Table_1[[#This Row],[Column7]]+Table_1[[#This Row],[Column6]]+Table_1[[#This Row],[Column5]]+Table_1[[#This Row],[Column4]]</f>
        <v>20</v>
      </c>
      <c r="I924" s="431">
        <v>1800</v>
      </c>
      <c r="J924" s="432">
        <f>'PACC GENERAL 2026'!$I924*'PACC GENERAL 2026'!$H924</f>
        <v>36000</v>
      </c>
      <c r="K924" s="433"/>
      <c r="L924" s="434"/>
      <c r="M924" s="434"/>
      <c r="N924" s="426"/>
      <c r="O924" s="426" t="s">
        <v>434</v>
      </c>
      <c r="P924" s="417"/>
    </row>
    <row r="925" spans="1:16" s="418" customFormat="1" ht="15.5">
      <c r="A925" s="428" t="s">
        <v>28</v>
      </c>
      <c r="B925" s="429" t="s">
        <v>1128</v>
      </c>
      <c r="C925" s="426" t="s">
        <v>93</v>
      </c>
      <c r="D925" s="416"/>
      <c r="E925" s="416"/>
      <c r="F925" s="441">
        <f>10+10</f>
        <v>20</v>
      </c>
      <c r="G925" s="430"/>
      <c r="H925" s="410">
        <f>+Table_1[[#This Row],[Column7]]+Table_1[[#This Row],[Column6]]+Table_1[[#This Row],[Column5]]+Table_1[[#This Row],[Column4]]</f>
        <v>20</v>
      </c>
      <c r="I925" s="431">
        <v>1600</v>
      </c>
      <c r="J925" s="432">
        <f>'PACC GENERAL 2026'!$I925*'PACC GENERAL 2026'!$H925</f>
        <v>32000</v>
      </c>
      <c r="K925" s="433"/>
      <c r="L925" s="434"/>
      <c r="M925" s="434"/>
      <c r="N925" s="426"/>
      <c r="O925" s="426" t="s">
        <v>434</v>
      </c>
      <c r="P925" s="417"/>
    </row>
    <row r="926" spans="1:16" s="414" customFormat="1" ht="15.75" customHeight="1">
      <c r="A926" s="399" t="s">
        <v>28</v>
      </c>
      <c r="B926" s="399" t="s">
        <v>893</v>
      </c>
      <c r="C926" s="407" t="s">
        <v>94</v>
      </c>
      <c r="D926" s="483"/>
      <c r="E926" s="487"/>
      <c r="F926" s="440">
        <v>1</v>
      </c>
      <c r="G926" s="415"/>
      <c r="H926" s="410">
        <f>F926</f>
        <v>1</v>
      </c>
      <c r="I926" s="274">
        <v>60000</v>
      </c>
      <c r="J926" s="411">
        <f>F926*I926</f>
        <v>60000</v>
      </c>
      <c r="K926" s="412"/>
      <c r="L926" s="399"/>
      <c r="M926" s="399"/>
      <c r="N926" s="399"/>
      <c r="O926" s="407" t="s">
        <v>404</v>
      </c>
      <c r="P926" s="413"/>
    </row>
    <row r="927" spans="1:16" s="414" customFormat="1" ht="15.75" customHeight="1">
      <c r="A927" s="399" t="s">
        <v>28</v>
      </c>
      <c r="B927" s="399" t="s">
        <v>895</v>
      </c>
      <c r="C927" s="407" t="s">
        <v>94</v>
      </c>
      <c r="D927" s="483"/>
      <c r="E927" s="487"/>
      <c r="F927" s="440">
        <v>1</v>
      </c>
      <c r="G927" s="415"/>
      <c r="H927" s="410">
        <f>F927</f>
        <v>1</v>
      </c>
      <c r="I927" s="274">
        <v>190000</v>
      </c>
      <c r="J927" s="411">
        <f>F927*I927</f>
        <v>190000</v>
      </c>
      <c r="K927" s="412"/>
      <c r="L927" s="399"/>
      <c r="M927" s="399"/>
      <c r="N927" s="399"/>
      <c r="O927" s="407" t="s">
        <v>404</v>
      </c>
      <c r="P927" s="413"/>
    </row>
    <row r="928" spans="1:16" s="97" customFormat="1" ht="15.5">
      <c r="A928" s="31" t="s">
        <v>28</v>
      </c>
      <c r="B928" s="36" t="s">
        <v>738</v>
      </c>
      <c r="C928" s="37" t="s">
        <v>138</v>
      </c>
      <c r="D928" s="138"/>
      <c r="E928" s="137"/>
      <c r="F928" s="138"/>
      <c r="G928" s="137"/>
      <c r="H928" s="67">
        <f>+Table_1[[#This Row],[Column7]]+Table_1[[#This Row],[Column6]]+Table_1[[#This Row],[Column5]]+Table_1[[#This Row],[Column4]]</f>
        <v>0</v>
      </c>
      <c r="I928" s="38">
        <v>2000</v>
      </c>
      <c r="J928" s="34">
        <f>'PACC GENERAL 2026'!$I928*'PACC GENERAL 2026'!$H928</f>
        <v>0</v>
      </c>
      <c r="K928" s="35"/>
      <c r="L928" s="32"/>
      <c r="M928" s="174"/>
      <c r="N928" s="179"/>
      <c r="O928" s="32"/>
      <c r="P928" s="320"/>
    </row>
    <row r="929" spans="1:16" ht="15.5">
      <c r="A929" s="9" t="s">
        <v>28</v>
      </c>
      <c r="B929" s="10" t="s">
        <v>117</v>
      </c>
      <c r="C929" s="10"/>
      <c r="D929" s="152"/>
      <c r="E929" s="152"/>
      <c r="F929" s="152"/>
      <c r="G929" s="152"/>
      <c r="H929" s="111"/>
      <c r="I929" s="44"/>
      <c r="J929" s="12"/>
      <c r="K929" s="13">
        <f>SUM(J879:J928)</f>
        <v>29900900</v>
      </c>
      <c r="L929" s="10"/>
      <c r="M929" s="10"/>
      <c r="N929" s="10"/>
      <c r="O929" s="73"/>
    </row>
    <row r="930" spans="1:16" s="418" customFormat="1" ht="15.75" customHeight="1">
      <c r="A930" s="126" t="s">
        <v>1684</v>
      </c>
      <c r="B930" s="126" t="s">
        <v>204</v>
      </c>
      <c r="C930" s="420" t="s">
        <v>94</v>
      </c>
      <c r="D930" s="421">
        <v>3</v>
      </c>
      <c r="E930" s="421"/>
      <c r="F930" s="421"/>
      <c r="G930" s="421"/>
      <c r="H930" s="410">
        <f>+Table_1[[#This Row],[Column7]]+Table_1[[#This Row],[Column6]]+Table_1[[#This Row],[Column5]]+Table_1[[#This Row],[Column4]]</f>
        <v>3</v>
      </c>
      <c r="I930" s="481">
        <v>28000</v>
      </c>
      <c r="J930" s="422">
        <f>'PACC GENERAL 2026'!$I930*'PACC GENERAL 2026'!$H930</f>
        <v>84000</v>
      </c>
      <c r="K930" s="423"/>
      <c r="L930" s="126"/>
      <c r="M930" s="126"/>
      <c r="N930" s="420"/>
      <c r="O930" s="420" t="s">
        <v>1191</v>
      </c>
      <c r="P930" s="482"/>
    </row>
    <row r="931" spans="1:16" s="418" customFormat="1" ht="15.75" customHeight="1">
      <c r="A931" s="126" t="s">
        <v>1684</v>
      </c>
      <c r="B931" s="126" t="s">
        <v>1388</v>
      </c>
      <c r="C931" s="420" t="s">
        <v>94</v>
      </c>
      <c r="D931" s="421">
        <v>6</v>
      </c>
      <c r="E931" s="421"/>
      <c r="F931" s="421"/>
      <c r="G931" s="421"/>
      <c r="H931" s="410">
        <f>+Table_1[[#This Row],[Column7]]+Table_1[[#This Row],[Column6]]+Table_1[[#This Row],[Column5]]+Table_1[[#This Row],[Column4]]</f>
        <v>6</v>
      </c>
      <c r="I931" s="481">
        <v>6000</v>
      </c>
      <c r="J931" s="422">
        <f>'PACC GENERAL 2026'!$I931*'PACC GENERAL 2026'!$H931</f>
        <v>36000</v>
      </c>
      <c r="K931" s="423"/>
      <c r="L931" s="126"/>
      <c r="M931" s="126"/>
      <c r="N931" s="420"/>
      <c r="O931" s="420" t="s">
        <v>1191</v>
      </c>
      <c r="P931" s="482"/>
    </row>
    <row r="932" spans="1:16" s="406" customFormat="1" ht="15.5">
      <c r="A932" s="9" t="s">
        <v>1684</v>
      </c>
      <c r="B932" s="10"/>
      <c r="C932" s="10"/>
      <c r="D932" s="152"/>
      <c r="E932" s="152"/>
      <c r="F932" s="152"/>
      <c r="G932" s="152"/>
      <c r="H932" s="111"/>
      <c r="I932" s="44"/>
      <c r="J932" s="12"/>
      <c r="K932" s="13">
        <f>SUM(J930:J931)</f>
        <v>120000</v>
      </c>
      <c r="L932" s="10"/>
      <c r="M932" s="10"/>
      <c r="N932" s="10"/>
      <c r="O932" s="73"/>
    </row>
    <row r="933" spans="1:16" s="418" customFormat="1" ht="15.5">
      <c r="A933" s="126" t="s">
        <v>624</v>
      </c>
      <c r="B933" s="126" t="s">
        <v>400</v>
      </c>
      <c r="C933" s="420" t="s">
        <v>94</v>
      </c>
      <c r="D933" s="421">
        <v>200</v>
      </c>
      <c r="E933" s="421"/>
      <c r="F933" s="421"/>
      <c r="G933" s="421"/>
      <c r="H933" s="410">
        <f>+Table_1[[#This Row],[Column7]]+Table_1[[#This Row],[Column6]]+Table_1[[#This Row],[Column5]]+Table_1[[#This Row],[Column4]]</f>
        <v>200</v>
      </c>
      <c r="I933" s="274">
        <v>1900</v>
      </c>
      <c r="J933" s="422">
        <f>'PACC GENERAL 2026'!$I933*'PACC GENERAL 2026'!$H933</f>
        <v>380000</v>
      </c>
      <c r="K933" s="423"/>
      <c r="L933" s="126"/>
      <c r="M933" s="126"/>
      <c r="N933" s="126"/>
      <c r="O933" s="517" t="s">
        <v>1004</v>
      </c>
      <c r="P933" s="417"/>
    </row>
    <row r="934" spans="1:16" s="418" customFormat="1" ht="15.5">
      <c r="A934" s="126" t="s">
        <v>624</v>
      </c>
      <c r="B934" s="126" t="s">
        <v>426</v>
      </c>
      <c r="C934" s="420" t="s">
        <v>94</v>
      </c>
      <c r="D934" s="421">
        <v>200</v>
      </c>
      <c r="E934" s="421"/>
      <c r="F934" s="421"/>
      <c r="G934" s="421"/>
      <c r="H934" s="410">
        <f>+Table_1[[#This Row],[Column7]]+Table_1[[#This Row],[Column6]]+Table_1[[#This Row],[Column5]]+Table_1[[#This Row],[Column4]]</f>
        <v>200</v>
      </c>
      <c r="I934" s="274">
        <v>2600</v>
      </c>
      <c r="J934" s="422">
        <f>'PACC GENERAL 2026'!$I934*'PACC GENERAL 2026'!$H934</f>
        <v>520000</v>
      </c>
      <c r="K934" s="423"/>
      <c r="L934" s="126"/>
      <c r="M934" s="126"/>
      <c r="N934" s="126"/>
      <c r="O934" s="517" t="s">
        <v>1004</v>
      </c>
      <c r="P934" s="417"/>
    </row>
    <row r="935" spans="1:16" s="406" customFormat="1" ht="15.5">
      <c r="A935" s="9" t="s">
        <v>624</v>
      </c>
      <c r="B935" s="10"/>
      <c r="C935" s="10"/>
      <c r="D935" s="152"/>
      <c r="E935" s="152"/>
      <c r="F935" s="152"/>
      <c r="G935" s="152"/>
      <c r="H935" s="111"/>
      <c r="I935" s="44"/>
      <c r="J935" s="12"/>
      <c r="K935" s="13">
        <f>SUM(J933:J934)</f>
        <v>900000</v>
      </c>
      <c r="L935" s="10"/>
      <c r="M935" s="10"/>
      <c r="N935" s="10"/>
      <c r="O935" s="73"/>
    </row>
    <row r="936" spans="1:16" s="97" customFormat="1" ht="15.5">
      <c r="A936" s="31" t="s">
        <v>29</v>
      </c>
      <c r="B936" s="31" t="s">
        <v>208</v>
      </c>
      <c r="C936" s="32" t="s">
        <v>94</v>
      </c>
      <c r="D936" s="155">
        <f>500-142</f>
        <v>358</v>
      </c>
      <c r="E936" s="137"/>
      <c r="F936" s="137">
        <f>142+11</f>
        <v>153</v>
      </c>
      <c r="G936" s="133"/>
      <c r="H936" s="67">
        <f>+Table_1[[#This Row],[Column7]]+Table_1[[#This Row],[Column6]]+Table_1[[#This Row],[Column5]]+Table_1[[#This Row],[Column4]]</f>
        <v>511</v>
      </c>
      <c r="I936" s="38">
        <v>5000</v>
      </c>
      <c r="J936" s="34">
        <f>'PACC GENERAL 2026'!$I936*'PACC GENERAL 2026'!$H936</f>
        <v>2555000</v>
      </c>
      <c r="K936" s="34"/>
      <c r="L936" s="31"/>
      <c r="M936" s="31"/>
      <c r="N936" s="32"/>
      <c r="O936" s="32" t="s">
        <v>1459</v>
      </c>
      <c r="P936" s="320"/>
    </row>
    <row r="937" spans="1:16" s="97" customFormat="1" ht="15.5">
      <c r="A937" s="31" t="s">
        <v>29</v>
      </c>
      <c r="B937" s="31" t="s">
        <v>236</v>
      </c>
      <c r="C937" s="32" t="s">
        <v>94</v>
      </c>
      <c r="D937" s="155">
        <v>600</v>
      </c>
      <c r="E937" s="231"/>
      <c r="F937" s="231"/>
      <c r="G937" s="133"/>
      <c r="H937" s="67">
        <f>+Table_1[[#This Row],[Column7]]+Table_1[[#This Row],[Column6]]+Table_1[[#This Row],[Column5]]+Table_1[[#This Row],[Column4]]</f>
        <v>600</v>
      </c>
      <c r="I937" s="38">
        <v>170</v>
      </c>
      <c r="J937" s="34">
        <f>'PACC GENERAL 2026'!$I937*'PACC GENERAL 2026'!$H937</f>
        <v>102000</v>
      </c>
      <c r="K937" s="34"/>
      <c r="L937" s="31"/>
      <c r="M937" s="31"/>
      <c r="N937" s="32"/>
      <c r="O937" s="32" t="s">
        <v>1191</v>
      </c>
      <c r="P937" s="320"/>
    </row>
    <row r="938" spans="1:16" s="97" customFormat="1" ht="15.5">
      <c r="A938" s="31" t="s">
        <v>29</v>
      </c>
      <c r="B938" s="31" t="s">
        <v>237</v>
      </c>
      <c r="C938" s="32" t="s">
        <v>94</v>
      </c>
      <c r="D938" s="155">
        <v>600</v>
      </c>
      <c r="E938" s="231"/>
      <c r="F938" s="231"/>
      <c r="G938" s="133"/>
      <c r="H938" s="67">
        <f>+Table_1[[#This Row],[Column7]]+Table_1[[#This Row],[Column6]]+Table_1[[#This Row],[Column5]]+Table_1[[#This Row],[Column4]]</f>
        <v>600</v>
      </c>
      <c r="I938" s="38">
        <v>170</v>
      </c>
      <c r="J938" s="34">
        <f>'PACC GENERAL 2026'!$I938*'PACC GENERAL 2026'!$H938</f>
        <v>102000</v>
      </c>
      <c r="K938" s="34"/>
      <c r="L938" s="31"/>
      <c r="M938" s="31"/>
      <c r="N938" s="32"/>
      <c r="O938" s="32" t="s">
        <v>1191</v>
      </c>
      <c r="P938" s="320"/>
    </row>
    <row r="939" spans="1:16" s="418" customFormat="1" ht="14.25" customHeight="1">
      <c r="A939" s="126" t="s">
        <v>29</v>
      </c>
      <c r="B939" s="126" t="s">
        <v>243</v>
      </c>
      <c r="C939" s="420" t="s">
        <v>94</v>
      </c>
      <c r="D939" s="421">
        <v>5000</v>
      </c>
      <c r="E939" s="421"/>
      <c r="F939" s="421">
        <v>4000</v>
      </c>
      <c r="G939" s="421"/>
      <c r="H939" s="410">
        <f>+Table_1[[#This Row],[Column7]]+Table_1[[#This Row],[Column6]]+Table_1[[#This Row],[Column5]]+Table_1[[#This Row],[Column4]]</f>
        <v>9000</v>
      </c>
      <c r="I939" s="274">
        <v>4</v>
      </c>
      <c r="J939" s="422">
        <f>'PACC GENERAL 2026'!$I939*'PACC GENERAL 2026'!$H939</f>
        <v>36000</v>
      </c>
      <c r="K939" s="422"/>
      <c r="L939" s="126"/>
      <c r="M939" s="126"/>
      <c r="N939" s="420"/>
      <c r="O939" s="420" t="s">
        <v>1678</v>
      </c>
      <c r="P939" s="417"/>
    </row>
    <row r="940" spans="1:16" s="287" customFormat="1" ht="15.5">
      <c r="A940" s="36" t="s">
        <v>29</v>
      </c>
      <c r="B940" s="36" t="s">
        <v>216</v>
      </c>
      <c r="C940" s="37" t="s">
        <v>94</v>
      </c>
      <c r="D940" s="236">
        <v>16</v>
      </c>
      <c r="E940" s="381"/>
      <c r="F940" s="381">
        <v>6</v>
      </c>
      <c r="G940" s="138"/>
      <c r="H940" s="110">
        <f>+Table_1[[#This Row],[Column7]]+Table_1[[#This Row],[Column6]]+Table_1[[#This Row],[Column5]]+Table_1[[#This Row],[Column4]]</f>
        <v>22</v>
      </c>
      <c r="I940" s="38">
        <v>3500</v>
      </c>
      <c r="J940" s="39">
        <f>'PACC GENERAL 2026'!$I940*'PACC GENERAL 2026'!$H940</f>
        <v>77000</v>
      </c>
      <c r="K940" s="39"/>
      <c r="L940" s="36"/>
      <c r="M940" s="36"/>
      <c r="N940" s="37"/>
      <c r="O940" s="37" t="s">
        <v>1460</v>
      </c>
      <c r="P940" s="323"/>
    </row>
    <row r="941" spans="1:16" s="287" customFormat="1" ht="15.5">
      <c r="A941" s="36" t="s">
        <v>29</v>
      </c>
      <c r="B941" s="36" t="s">
        <v>989</v>
      </c>
      <c r="C941" s="37" t="s">
        <v>138</v>
      </c>
      <c r="D941" s="236"/>
      <c r="E941" s="213"/>
      <c r="F941" s="381">
        <v>6</v>
      </c>
      <c r="G941" s="138"/>
      <c r="H941" s="110">
        <f>+Table_1[[#This Row],[Column7]]+Table_1[[#This Row],[Column6]]+Table_1[[#This Row],[Column5]]+Table_1[[#This Row],[Column4]]</f>
        <v>6</v>
      </c>
      <c r="I941" s="38">
        <v>4500</v>
      </c>
      <c r="J941" s="39">
        <f>'PACC GENERAL 2026'!$I941*'PACC GENERAL 2026'!$H941</f>
        <v>27000</v>
      </c>
      <c r="K941" s="39"/>
      <c r="L941" s="36"/>
      <c r="M941" s="36"/>
      <c r="N941" s="37"/>
      <c r="O941" s="37" t="s">
        <v>414</v>
      </c>
      <c r="P941" s="323"/>
    </row>
    <row r="942" spans="1:16" s="97" customFormat="1" ht="15.5">
      <c r="A942" s="31" t="s">
        <v>29</v>
      </c>
      <c r="B942" s="31" t="s">
        <v>217</v>
      </c>
      <c r="C942" s="32" t="s">
        <v>94</v>
      </c>
      <c r="D942" s="155">
        <v>16</v>
      </c>
      <c r="E942" s="231"/>
      <c r="F942" s="231">
        <v>6</v>
      </c>
      <c r="G942" s="133"/>
      <c r="H942" s="67">
        <f>+Table_1[[#This Row],[Column7]]+Table_1[[#This Row],[Column6]]+Table_1[[#This Row],[Column5]]+Table_1[[#This Row],[Column4]]</f>
        <v>22</v>
      </c>
      <c r="I942" s="38">
        <v>3500</v>
      </c>
      <c r="J942" s="34">
        <f>'PACC GENERAL 2026'!$I942*'PACC GENERAL 2026'!$H942</f>
        <v>77000</v>
      </c>
      <c r="K942" s="34"/>
      <c r="L942" s="31"/>
      <c r="M942" s="31"/>
      <c r="N942" s="32"/>
      <c r="O942" s="32" t="s">
        <v>1460</v>
      </c>
      <c r="P942" s="320"/>
    </row>
    <row r="943" spans="1:16" s="287" customFormat="1" ht="15.5">
      <c r="A943" s="36" t="s">
        <v>29</v>
      </c>
      <c r="B943" s="36" t="s">
        <v>990</v>
      </c>
      <c r="C943" s="37" t="s">
        <v>138</v>
      </c>
      <c r="D943" s="236"/>
      <c r="E943" s="213"/>
      <c r="F943" s="381">
        <v>6</v>
      </c>
      <c r="G943" s="138"/>
      <c r="H943" s="110">
        <f>+Table_1[[#This Row],[Column7]]+Table_1[[#This Row],[Column6]]+Table_1[[#This Row],[Column5]]+Table_1[[#This Row],[Column4]]</f>
        <v>6</v>
      </c>
      <c r="I943" s="38">
        <v>4500</v>
      </c>
      <c r="J943" s="39">
        <f>'PACC GENERAL 2026'!$I943*'PACC GENERAL 2026'!$H943</f>
        <v>27000</v>
      </c>
      <c r="K943" s="39"/>
      <c r="L943" s="36"/>
      <c r="M943" s="36"/>
      <c r="N943" s="37"/>
      <c r="O943" s="37" t="s">
        <v>414</v>
      </c>
      <c r="P943" s="323"/>
    </row>
    <row r="944" spans="1:16" s="97" customFormat="1" ht="15.5">
      <c r="A944" s="31" t="s">
        <v>29</v>
      </c>
      <c r="B944" s="31" t="s">
        <v>218</v>
      </c>
      <c r="C944" s="32" t="s">
        <v>94</v>
      </c>
      <c r="D944" s="155">
        <v>16</v>
      </c>
      <c r="E944" s="231"/>
      <c r="F944" s="231">
        <v>6</v>
      </c>
      <c r="G944" s="133"/>
      <c r="H944" s="67">
        <f>+Table_1[[#This Row],[Column7]]+Table_1[[#This Row],[Column6]]+Table_1[[#This Row],[Column5]]+Table_1[[#This Row],[Column4]]</f>
        <v>22</v>
      </c>
      <c r="I944" s="38">
        <v>3500</v>
      </c>
      <c r="J944" s="34">
        <f>'PACC GENERAL 2026'!$I944*'PACC GENERAL 2026'!$H944</f>
        <v>77000</v>
      </c>
      <c r="K944" s="34"/>
      <c r="L944" s="31"/>
      <c r="M944" s="31"/>
      <c r="N944" s="32"/>
      <c r="O944" s="32" t="s">
        <v>1460</v>
      </c>
      <c r="P944" s="320"/>
    </row>
    <row r="945" spans="1:16" s="287" customFormat="1" ht="15.5">
      <c r="A945" s="36" t="s">
        <v>29</v>
      </c>
      <c r="B945" s="36" t="s">
        <v>991</v>
      </c>
      <c r="C945" s="37" t="s">
        <v>138</v>
      </c>
      <c r="D945" s="236"/>
      <c r="E945" s="213"/>
      <c r="F945" s="381">
        <v>6</v>
      </c>
      <c r="G945" s="138"/>
      <c r="H945" s="110">
        <f>+Table_1[[#This Row],[Column7]]+Table_1[[#This Row],[Column6]]+Table_1[[#This Row],[Column5]]+Table_1[[#This Row],[Column4]]</f>
        <v>6</v>
      </c>
      <c r="I945" s="38">
        <v>4500</v>
      </c>
      <c r="J945" s="39">
        <f>'PACC GENERAL 2026'!$I945*'PACC GENERAL 2026'!$H945</f>
        <v>27000</v>
      </c>
      <c r="K945" s="39"/>
      <c r="L945" s="36"/>
      <c r="M945" s="36"/>
      <c r="N945" s="37"/>
      <c r="O945" s="37" t="s">
        <v>414</v>
      </c>
      <c r="P945" s="323"/>
    </row>
    <row r="946" spans="1:16" s="97" customFormat="1" ht="15.5">
      <c r="A946" s="31" t="s">
        <v>29</v>
      </c>
      <c r="B946" s="31" t="s">
        <v>226</v>
      </c>
      <c r="C946" s="32" t="s">
        <v>199</v>
      </c>
      <c r="D946" s="155"/>
      <c r="E946" s="137"/>
      <c r="F946" s="231">
        <v>6</v>
      </c>
      <c r="G946" s="133"/>
      <c r="H946" s="67">
        <f>+Table_1[[#This Row],[Column7]]+Table_1[[#This Row],[Column6]]+Table_1[[#This Row],[Column5]]+Table_1[[#This Row],[Column4]]</f>
        <v>6</v>
      </c>
      <c r="I946" s="38">
        <v>6000</v>
      </c>
      <c r="J946" s="34">
        <f>'PACC GENERAL 2026'!$I946*'PACC GENERAL 2026'!$H946</f>
        <v>36000</v>
      </c>
      <c r="K946" s="34"/>
      <c r="L946" s="31"/>
      <c r="M946" s="31"/>
      <c r="N946" s="32"/>
      <c r="O946" s="32" t="s">
        <v>414</v>
      </c>
      <c r="P946" s="320"/>
    </row>
    <row r="947" spans="1:16" s="97" customFormat="1" ht="15.5">
      <c r="A947" s="31" t="s">
        <v>29</v>
      </c>
      <c r="B947" s="31" t="s">
        <v>500</v>
      </c>
      <c r="C947" s="32" t="s">
        <v>199</v>
      </c>
      <c r="D947" s="155"/>
      <c r="E947" s="137"/>
      <c r="F947" s="231">
        <v>1</v>
      </c>
      <c r="G947" s="133"/>
      <c r="H947" s="67">
        <f>+Table_1[[#This Row],[Column7]]+Table_1[[#This Row],[Column6]]+Table_1[[#This Row],[Column5]]+Table_1[[#This Row],[Column4]]</f>
        <v>1</v>
      </c>
      <c r="I947" s="38">
        <v>6000</v>
      </c>
      <c r="J947" s="34">
        <f>'PACC GENERAL 2026'!$I947*'PACC GENERAL 2026'!$H947</f>
        <v>6000</v>
      </c>
      <c r="K947" s="34"/>
      <c r="L947" s="31"/>
      <c r="M947" s="31"/>
      <c r="N947" s="32"/>
      <c r="O947" s="32" t="s">
        <v>414</v>
      </c>
      <c r="P947" s="320"/>
    </row>
    <row r="948" spans="1:16" s="97" customFormat="1" ht="15.5">
      <c r="A948" s="31" t="s">
        <v>29</v>
      </c>
      <c r="B948" s="31" t="s">
        <v>502</v>
      </c>
      <c r="C948" s="32" t="s">
        <v>199</v>
      </c>
      <c r="D948" s="155"/>
      <c r="E948" s="137"/>
      <c r="F948" s="231">
        <v>1</v>
      </c>
      <c r="G948" s="133"/>
      <c r="H948" s="67">
        <f>+Table_1[[#This Row],[Column7]]+Table_1[[#This Row],[Column6]]+Table_1[[#This Row],[Column5]]+Table_1[[#This Row],[Column4]]</f>
        <v>1</v>
      </c>
      <c r="I948" s="38">
        <v>35000</v>
      </c>
      <c r="J948" s="34">
        <f>'PACC GENERAL 2026'!$I948*'PACC GENERAL 2026'!$H948</f>
        <v>35000</v>
      </c>
      <c r="K948" s="34"/>
      <c r="L948" s="31"/>
      <c r="M948" s="31"/>
      <c r="N948" s="32"/>
      <c r="O948" s="32" t="s">
        <v>414</v>
      </c>
      <c r="P948" s="320"/>
    </row>
    <row r="949" spans="1:16" s="97" customFormat="1" ht="15.5">
      <c r="A949" s="31" t="s">
        <v>29</v>
      </c>
      <c r="B949" s="31" t="s">
        <v>225</v>
      </c>
      <c r="C949" s="32" t="s">
        <v>138</v>
      </c>
      <c r="D949" s="155">
        <v>1500</v>
      </c>
      <c r="E949" s="231"/>
      <c r="F949" s="352">
        <v>1000</v>
      </c>
      <c r="G949" s="133"/>
      <c r="H949" s="67">
        <f>+Table_1[[#This Row],[Column7]]+Table_1[[#This Row],[Column6]]+Table_1[[#This Row],[Column5]]+Table_1[[#This Row],[Column4]]</f>
        <v>2500</v>
      </c>
      <c r="I949" s="38">
        <v>52</v>
      </c>
      <c r="J949" s="34">
        <f>'PACC GENERAL 2026'!$I949*'PACC GENERAL 2026'!$H949</f>
        <v>130000</v>
      </c>
      <c r="K949" s="34"/>
      <c r="L949" s="31"/>
      <c r="M949" s="31"/>
      <c r="N949" s="32"/>
      <c r="O949" s="32" t="s">
        <v>1460</v>
      </c>
      <c r="P949" s="320"/>
    </row>
    <row r="950" spans="1:16" s="97" customFormat="1" ht="15.5">
      <c r="A950" s="31" t="s">
        <v>29</v>
      </c>
      <c r="B950" s="31" t="s">
        <v>211</v>
      </c>
      <c r="C950" s="32" t="s">
        <v>138</v>
      </c>
      <c r="D950" s="155">
        <v>1500</v>
      </c>
      <c r="E950" s="231"/>
      <c r="F950" s="352">
        <v>1000</v>
      </c>
      <c r="G950" s="133"/>
      <c r="H950" s="67">
        <f>+Table_1[[#This Row],[Column7]]+Table_1[[#This Row],[Column6]]+Table_1[[#This Row],[Column5]]+Table_1[[#This Row],[Column4]]</f>
        <v>2500</v>
      </c>
      <c r="I950" s="38">
        <v>125</v>
      </c>
      <c r="J950" s="34">
        <f>'PACC GENERAL 2026'!$I950*'PACC GENERAL 2026'!$H950</f>
        <v>312500</v>
      </c>
      <c r="K950" s="34"/>
      <c r="L950" s="31"/>
      <c r="M950" s="31"/>
      <c r="N950" s="32"/>
      <c r="O950" s="32" t="s">
        <v>1460</v>
      </c>
      <c r="P950" s="320"/>
    </row>
    <row r="951" spans="1:16" s="97" customFormat="1" ht="15.5">
      <c r="A951" s="31" t="s">
        <v>29</v>
      </c>
      <c r="B951" s="31" t="s">
        <v>212</v>
      </c>
      <c r="C951" s="32" t="s">
        <v>138</v>
      </c>
      <c r="D951" s="155">
        <v>1500</v>
      </c>
      <c r="E951" s="231"/>
      <c r="F951" s="352">
        <v>1000</v>
      </c>
      <c r="G951" s="133"/>
      <c r="H951" s="67">
        <f>+Table_1[[#This Row],[Column7]]+Table_1[[#This Row],[Column6]]+Table_1[[#This Row],[Column5]]+Table_1[[#This Row],[Column4]]</f>
        <v>2500</v>
      </c>
      <c r="I951" s="38">
        <v>50</v>
      </c>
      <c r="J951" s="34">
        <f>'PACC GENERAL 2026'!$I951*'PACC GENERAL 2026'!$H951</f>
        <v>125000</v>
      </c>
      <c r="K951" s="34"/>
      <c r="L951" s="31"/>
      <c r="M951" s="31"/>
      <c r="N951" s="32"/>
      <c r="O951" s="32" t="s">
        <v>1460</v>
      </c>
      <c r="P951" s="320"/>
    </row>
    <row r="952" spans="1:16" s="97" customFormat="1" ht="15.5">
      <c r="A952" s="31" t="s">
        <v>29</v>
      </c>
      <c r="B952" s="31" t="s">
        <v>213</v>
      </c>
      <c r="C952" s="32" t="s">
        <v>138</v>
      </c>
      <c r="D952" s="155">
        <v>1500</v>
      </c>
      <c r="E952" s="231"/>
      <c r="F952" s="352">
        <v>1000</v>
      </c>
      <c r="G952" s="133"/>
      <c r="H952" s="67">
        <f>+Table_1[[#This Row],[Column7]]+Table_1[[#This Row],[Column6]]+Table_1[[#This Row],[Column5]]+Table_1[[#This Row],[Column4]]</f>
        <v>2500</v>
      </c>
      <c r="I952" s="38">
        <v>70</v>
      </c>
      <c r="J952" s="34">
        <f>'PACC GENERAL 2026'!$I952*'PACC GENERAL 2026'!$H952</f>
        <v>175000</v>
      </c>
      <c r="K952" s="34"/>
      <c r="L952" s="31"/>
      <c r="M952" s="31"/>
      <c r="N952" s="32"/>
      <c r="O952" s="32" t="s">
        <v>1460</v>
      </c>
      <c r="P952" s="320"/>
    </row>
    <row r="953" spans="1:16" s="97" customFormat="1" ht="15.5">
      <c r="A953" s="31" t="s">
        <v>29</v>
      </c>
      <c r="B953" s="31" t="s">
        <v>214</v>
      </c>
      <c r="C953" s="32" t="s">
        <v>138</v>
      </c>
      <c r="D953" s="155">
        <v>1500</v>
      </c>
      <c r="E953" s="231"/>
      <c r="F953" s="352">
        <v>1000</v>
      </c>
      <c r="G953" s="133"/>
      <c r="H953" s="67">
        <f>+Table_1[[#This Row],[Column7]]+Table_1[[#This Row],[Column6]]+Table_1[[#This Row],[Column5]]+Table_1[[#This Row],[Column4]]</f>
        <v>2500</v>
      </c>
      <c r="I953" s="38">
        <v>70</v>
      </c>
      <c r="J953" s="34">
        <f>'PACC GENERAL 2026'!$I953*'PACC GENERAL 2026'!$H953</f>
        <v>175000</v>
      </c>
      <c r="K953" s="34"/>
      <c r="L953" s="31"/>
      <c r="M953" s="31"/>
      <c r="N953" s="32"/>
      <c r="O953" s="32" t="s">
        <v>1460</v>
      </c>
      <c r="P953" s="320"/>
    </row>
    <row r="954" spans="1:16" s="97" customFormat="1" ht="15.5">
      <c r="A954" s="31" t="s">
        <v>29</v>
      </c>
      <c r="B954" s="31" t="s">
        <v>987</v>
      </c>
      <c r="C954" s="32" t="s">
        <v>138</v>
      </c>
      <c r="D954" s="155">
        <v>500</v>
      </c>
      <c r="E954" s="231"/>
      <c r="F954" s="352">
        <v>1000</v>
      </c>
      <c r="G954" s="133"/>
      <c r="H954" s="67">
        <f>+Table_1[[#This Row],[Column7]]+Table_1[[#This Row],[Column6]]+Table_1[[#This Row],[Column5]]+Table_1[[#This Row],[Column4]]</f>
        <v>1500</v>
      </c>
      <c r="I954" s="38">
        <v>70</v>
      </c>
      <c r="J954" s="34">
        <f>'PACC GENERAL 2026'!$I954*'PACC GENERAL 2026'!$H954</f>
        <v>105000</v>
      </c>
      <c r="K954" s="34"/>
      <c r="L954" s="31"/>
      <c r="M954" s="31"/>
      <c r="N954" s="32"/>
      <c r="O954" s="32" t="s">
        <v>1460</v>
      </c>
      <c r="P954" s="320"/>
    </row>
    <row r="955" spans="1:16" s="97" customFormat="1" ht="15.5">
      <c r="A955" s="31" t="s">
        <v>29</v>
      </c>
      <c r="B955" s="31" t="s">
        <v>215</v>
      </c>
      <c r="C955" s="32" t="s">
        <v>138</v>
      </c>
      <c r="D955" s="155">
        <v>4</v>
      </c>
      <c r="E955" s="231"/>
      <c r="F955" s="231"/>
      <c r="G955" s="133"/>
      <c r="H955" s="67">
        <f>+Table_1[[#This Row],[Column7]]+Table_1[[#This Row],[Column6]]+Table_1[[#This Row],[Column5]]+Table_1[[#This Row],[Column4]]</f>
        <v>4</v>
      </c>
      <c r="I955" s="38">
        <v>4000</v>
      </c>
      <c r="J955" s="34">
        <f>'PACC GENERAL 2026'!$I955*'PACC GENERAL 2026'!$H955</f>
        <v>16000</v>
      </c>
      <c r="K955" s="34"/>
      <c r="L955" s="31"/>
      <c r="M955" s="31"/>
      <c r="N955" s="32"/>
      <c r="O955" s="32" t="s">
        <v>1191</v>
      </c>
      <c r="P955" s="320"/>
    </row>
    <row r="956" spans="1:16" s="97" customFormat="1" ht="15.5">
      <c r="A956" s="31" t="s">
        <v>29</v>
      </c>
      <c r="B956" s="31" t="s">
        <v>219</v>
      </c>
      <c r="C956" s="32" t="s">
        <v>199</v>
      </c>
      <c r="D956" s="155"/>
      <c r="E956" s="137"/>
      <c r="F956" s="231">
        <v>1</v>
      </c>
      <c r="G956" s="133"/>
      <c r="H956" s="67">
        <f>+Table_1[[#This Row],[Column7]]+Table_1[[#This Row],[Column6]]+Table_1[[#This Row],[Column5]]+Table_1[[#This Row],[Column4]]</f>
        <v>1</v>
      </c>
      <c r="I956" s="38">
        <v>5222.5</v>
      </c>
      <c r="J956" s="34">
        <f>'PACC GENERAL 2026'!$I956*'PACC GENERAL 2026'!$H956</f>
        <v>5222.5</v>
      </c>
      <c r="K956" s="34"/>
      <c r="L956" s="31"/>
      <c r="M956" s="31"/>
      <c r="N956" s="32"/>
      <c r="O956" s="32" t="s">
        <v>414</v>
      </c>
      <c r="P956" s="320"/>
    </row>
    <row r="957" spans="1:16" s="97" customFormat="1" ht="15.5">
      <c r="A957" s="31" t="s">
        <v>29</v>
      </c>
      <c r="B957" s="31" t="s">
        <v>220</v>
      </c>
      <c r="C957" s="32" t="s">
        <v>199</v>
      </c>
      <c r="D957" s="155"/>
      <c r="E957" s="137"/>
      <c r="F957" s="231">
        <v>1</v>
      </c>
      <c r="G957" s="133"/>
      <c r="H957" s="67">
        <f>+Table_1[[#This Row],[Column7]]+Table_1[[#This Row],[Column6]]+Table_1[[#This Row],[Column5]]+Table_1[[#This Row],[Column4]]</f>
        <v>1</v>
      </c>
      <c r="I957" s="38">
        <v>6186.51</v>
      </c>
      <c r="J957" s="34">
        <f>'PACC GENERAL 2026'!$I957*'PACC GENERAL 2026'!$H957</f>
        <v>6186.51</v>
      </c>
      <c r="K957" s="34"/>
      <c r="L957" s="31"/>
      <c r="M957" s="31"/>
      <c r="N957" s="32"/>
      <c r="O957" s="32" t="s">
        <v>414</v>
      </c>
      <c r="P957" s="320"/>
    </row>
    <row r="958" spans="1:16" s="97" customFormat="1" ht="15.5">
      <c r="A958" s="31" t="s">
        <v>29</v>
      </c>
      <c r="B958" s="31" t="s">
        <v>222</v>
      </c>
      <c r="C958" s="32" t="s">
        <v>199</v>
      </c>
      <c r="D958" s="155"/>
      <c r="E958" s="137"/>
      <c r="F958" s="231">
        <v>1</v>
      </c>
      <c r="G958" s="133"/>
      <c r="H958" s="67">
        <f>+Table_1[[#This Row],[Column7]]+Table_1[[#This Row],[Column6]]+Table_1[[#This Row],[Column5]]+Table_1[[#This Row],[Column4]]</f>
        <v>1</v>
      </c>
      <c r="I958" s="38">
        <v>5222.5</v>
      </c>
      <c r="J958" s="34">
        <f>'PACC GENERAL 2026'!$I958*'PACC GENERAL 2026'!$H958</f>
        <v>5222.5</v>
      </c>
      <c r="K958" s="34"/>
      <c r="L958" s="31"/>
      <c r="M958" s="31"/>
      <c r="N958" s="32"/>
      <c r="O958" s="32" t="s">
        <v>414</v>
      </c>
      <c r="P958" s="320"/>
    </row>
    <row r="959" spans="1:16" s="97" customFormat="1" ht="15.5">
      <c r="A959" s="31" t="s">
        <v>29</v>
      </c>
      <c r="B959" s="31" t="s">
        <v>227</v>
      </c>
      <c r="C959" s="32" t="s">
        <v>94</v>
      </c>
      <c r="D959" s="155"/>
      <c r="E959" s="137"/>
      <c r="F959" s="231">
        <v>1</v>
      </c>
      <c r="G959" s="133"/>
      <c r="H959" s="67">
        <f>+Table_1[[#This Row],[Column7]]+Table_1[[#This Row],[Column6]]+Table_1[[#This Row],[Column5]]+Table_1[[#This Row],[Column4]]</f>
        <v>1</v>
      </c>
      <c r="I959" s="38">
        <v>15000</v>
      </c>
      <c r="J959" s="34">
        <f>'PACC GENERAL 2026'!$I959*'PACC GENERAL 2026'!$H959</f>
        <v>15000</v>
      </c>
      <c r="K959" s="34"/>
      <c r="L959" s="31"/>
      <c r="M959" s="31"/>
      <c r="N959" s="32"/>
      <c r="O959" s="32" t="s">
        <v>414</v>
      </c>
      <c r="P959" s="320"/>
    </row>
    <row r="960" spans="1:16" s="97" customFormat="1" ht="15.5">
      <c r="A960" s="31" t="s">
        <v>29</v>
      </c>
      <c r="B960" s="31" t="s">
        <v>228</v>
      </c>
      <c r="C960" s="32" t="s">
        <v>94</v>
      </c>
      <c r="D960" s="155"/>
      <c r="E960" s="137"/>
      <c r="F960" s="231">
        <v>1</v>
      </c>
      <c r="G960" s="133"/>
      <c r="H960" s="67">
        <f>+Table_1[[#This Row],[Column7]]+Table_1[[#This Row],[Column6]]+Table_1[[#This Row],[Column5]]+Table_1[[#This Row],[Column4]]</f>
        <v>1</v>
      </c>
      <c r="I960" s="38">
        <v>18000</v>
      </c>
      <c r="J960" s="34">
        <f>'PACC GENERAL 2026'!$I960*'PACC GENERAL 2026'!$H960</f>
        <v>18000</v>
      </c>
      <c r="K960" s="34"/>
      <c r="L960" s="31"/>
      <c r="M960" s="31"/>
      <c r="N960" s="32"/>
      <c r="O960" s="32" t="s">
        <v>414</v>
      </c>
      <c r="P960" s="320"/>
    </row>
    <row r="961" spans="1:16" s="97" customFormat="1" ht="15.5">
      <c r="A961" s="31" t="s">
        <v>29</v>
      </c>
      <c r="B961" s="31" t="s">
        <v>501</v>
      </c>
      <c r="C961" s="32" t="s">
        <v>94</v>
      </c>
      <c r="D961" s="155"/>
      <c r="E961" s="137"/>
      <c r="F961" s="231">
        <v>1</v>
      </c>
      <c r="G961" s="133"/>
      <c r="H961" s="67">
        <f>+Table_1[[#This Row],[Column7]]+Table_1[[#This Row],[Column6]]+Table_1[[#This Row],[Column5]]+Table_1[[#This Row],[Column4]]</f>
        <v>1</v>
      </c>
      <c r="I961" s="38">
        <v>4500</v>
      </c>
      <c r="J961" s="34">
        <f>'PACC GENERAL 2026'!$I961*'PACC GENERAL 2026'!$H961</f>
        <v>4500</v>
      </c>
      <c r="K961" s="34"/>
      <c r="L961" s="31"/>
      <c r="M961" s="31"/>
      <c r="N961" s="32"/>
      <c r="O961" s="32" t="s">
        <v>414</v>
      </c>
      <c r="P961" s="320"/>
    </row>
    <row r="962" spans="1:16" s="97" customFormat="1" ht="15.5">
      <c r="A962" s="31" t="s">
        <v>29</v>
      </c>
      <c r="B962" s="31" t="s">
        <v>494</v>
      </c>
      <c r="C962" s="32" t="s">
        <v>94</v>
      </c>
      <c r="D962" s="155">
        <v>1</v>
      </c>
      <c r="E962" s="231"/>
      <c r="F962" s="231">
        <v>1</v>
      </c>
      <c r="G962" s="133"/>
      <c r="H962" s="67">
        <f>+Table_1[[#This Row],[Column7]]+Table_1[[#This Row],[Column6]]+Table_1[[#This Row],[Column5]]+Table_1[[#This Row],[Column4]]</f>
        <v>2</v>
      </c>
      <c r="I962" s="38">
        <v>15400</v>
      </c>
      <c r="J962" s="34">
        <f>'PACC GENERAL 2026'!$I962*'PACC GENERAL 2026'!$H962</f>
        <v>30800</v>
      </c>
      <c r="K962" s="34"/>
      <c r="L962" s="31"/>
      <c r="M962" s="31"/>
      <c r="N962" s="32"/>
      <c r="O962" s="32" t="s">
        <v>1460</v>
      </c>
      <c r="P962" s="320"/>
    </row>
    <row r="963" spans="1:16" s="97" customFormat="1" ht="15.5">
      <c r="A963" s="31" t="s">
        <v>29</v>
      </c>
      <c r="B963" s="31" t="s">
        <v>495</v>
      </c>
      <c r="C963" s="32" t="s">
        <v>94</v>
      </c>
      <c r="D963" s="155">
        <v>1</v>
      </c>
      <c r="E963" s="231"/>
      <c r="F963" s="231">
        <v>1</v>
      </c>
      <c r="G963" s="133"/>
      <c r="H963" s="67">
        <f>+Table_1[[#This Row],[Column7]]+Table_1[[#This Row],[Column6]]+Table_1[[#This Row],[Column5]]+Table_1[[#This Row],[Column4]]</f>
        <v>2</v>
      </c>
      <c r="I963" s="38">
        <v>5700</v>
      </c>
      <c r="J963" s="34">
        <f>'PACC GENERAL 2026'!$I963*'PACC GENERAL 2026'!$H963</f>
        <v>11400</v>
      </c>
      <c r="K963" s="34"/>
      <c r="L963" s="31"/>
      <c r="M963" s="31"/>
      <c r="N963" s="32"/>
      <c r="O963" s="32" t="s">
        <v>1460</v>
      </c>
      <c r="P963" s="320"/>
    </row>
    <row r="964" spans="1:16" s="97" customFormat="1" ht="15.5">
      <c r="A964" s="31" t="s">
        <v>29</v>
      </c>
      <c r="B964" s="31" t="s">
        <v>496</v>
      </c>
      <c r="C964" s="32" t="s">
        <v>94</v>
      </c>
      <c r="D964" s="155">
        <v>1</v>
      </c>
      <c r="E964" s="231"/>
      <c r="F964" s="231">
        <v>1</v>
      </c>
      <c r="G964" s="133"/>
      <c r="H964" s="67">
        <f>+Table_1[[#This Row],[Column7]]+Table_1[[#This Row],[Column6]]+Table_1[[#This Row],[Column5]]+Table_1[[#This Row],[Column4]]</f>
        <v>2</v>
      </c>
      <c r="I964" s="38">
        <v>6500</v>
      </c>
      <c r="J964" s="34">
        <f>'PACC GENERAL 2026'!$I964*'PACC GENERAL 2026'!$H964</f>
        <v>13000</v>
      </c>
      <c r="K964" s="34"/>
      <c r="L964" s="31"/>
      <c r="M964" s="31"/>
      <c r="N964" s="32"/>
      <c r="O964" s="32" t="s">
        <v>1460</v>
      </c>
      <c r="P964" s="320"/>
    </row>
    <row r="965" spans="1:16" s="97" customFormat="1" ht="15.5">
      <c r="A965" s="31" t="s">
        <v>29</v>
      </c>
      <c r="B965" s="31" t="s">
        <v>497</v>
      </c>
      <c r="C965" s="32" t="s">
        <v>94</v>
      </c>
      <c r="D965" s="155">
        <v>1</v>
      </c>
      <c r="E965" s="231"/>
      <c r="F965" s="231">
        <v>1</v>
      </c>
      <c r="G965" s="133"/>
      <c r="H965" s="67">
        <f>+Table_1[[#This Row],[Column7]]+Table_1[[#This Row],[Column6]]+Table_1[[#This Row],[Column5]]+Table_1[[#This Row],[Column4]]</f>
        <v>2</v>
      </c>
      <c r="I965" s="38">
        <v>6000</v>
      </c>
      <c r="J965" s="34">
        <f>'PACC GENERAL 2026'!$I965*'PACC GENERAL 2026'!$H965</f>
        <v>12000</v>
      </c>
      <c r="K965" s="34"/>
      <c r="L965" s="31"/>
      <c r="M965" s="31"/>
      <c r="N965" s="32"/>
      <c r="O965" s="32" t="s">
        <v>1460</v>
      </c>
      <c r="P965" s="320"/>
    </row>
    <row r="966" spans="1:16" s="97" customFormat="1" ht="15.5">
      <c r="A966" s="31" t="s">
        <v>29</v>
      </c>
      <c r="B966" s="31" t="s">
        <v>498</v>
      </c>
      <c r="C966" s="32" t="s">
        <v>94</v>
      </c>
      <c r="D966" s="155">
        <v>1</v>
      </c>
      <c r="E966" s="231"/>
      <c r="F966" s="231">
        <v>1</v>
      </c>
      <c r="G966" s="133"/>
      <c r="H966" s="67">
        <f>+Table_1[[#This Row],[Column7]]+Table_1[[#This Row],[Column6]]+Table_1[[#This Row],[Column5]]+Table_1[[#This Row],[Column4]]</f>
        <v>2</v>
      </c>
      <c r="I966" s="38">
        <v>5700</v>
      </c>
      <c r="J966" s="34">
        <f>'PACC GENERAL 2026'!$I966*'PACC GENERAL 2026'!$H966</f>
        <v>11400</v>
      </c>
      <c r="K966" s="34"/>
      <c r="L966" s="31"/>
      <c r="M966" s="31"/>
      <c r="N966" s="32"/>
      <c r="O966" s="32" t="s">
        <v>1460</v>
      </c>
      <c r="P966" s="320"/>
    </row>
    <row r="967" spans="1:16" s="97" customFormat="1" ht="15.5">
      <c r="A967" s="31" t="s">
        <v>29</v>
      </c>
      <c r="B967" s="31" t="s">
        <v>499</v>
      </c>
      <c r="C967" s="32" t="s">
        <v>94</v>
      </c>
      <c r="D967" s="155">
        <v>1</v>
      </c>
      <c r="E967" s="231"/>
      <c r="F967" s="231">
        <v>1</v>
      </c>
      <c r="G967" s="133"/>
      <c r="H967" s="67">
        <f>+Table_1[[#This Row],[Column7]]+Table_1[[#This Row],[Column6]]+Table_1[[#This Row],[Column5]]+Table_1[[#This Row],[Column4]]</f>
        <v>2</v>
      </c>
      <c r="I967" s="38">
        <v>13000</v>
      </c>
      <c r="J967" s="34">
        <f>'PACC GENERAL 2026'!$I967*'PACC GENERAL 2026'!$H967</f>
        <v>26000</v>
      </c>
      <c r="K967" s="34"/>
      <c r="L967" s="31"/>
      <c r="M967" s="31"/>
      <c r="N967" s="32"/>
      <c r="O967" s="32" t="s">
        <v>1460</v>
      </c>
      <c r="P967" s="320"/>
    </row>
    <row r="968" spans="1:16" s="97" customFormat="1" ht="15.5">
      <c r="A968" s="31" t="s">
        <v>29</v>
      </c>
      <c r="B968" s="31" t="s">
        <v>607</v>
      </c>
      <c r="C968" s="32" t="s">
        <v>199</v>
      </c>
      <c r="D968" s="155">
        <v>5</v>
      </c>
      <c r="E968" s="231"/>
      <c r="F968" s="231">
        <v>3</v>
      </c>
      <c r="G968" s="133"/>
      <c r="H968" s="67">
        <f>+Table_1[[#This Row],[Column7]]+Table_1[[#This Row],[Column6]]+Table_1[[#This Row],[Column5]]+Table_1[[#This Row],[Column4]]</f>
        <v>8</v>
      </c>
      <c r="I968" s="38">
        <v>3500</v>
      </c>
      <c r="J968" s="34">
        <f>'PACC GENERAL 2026'!$I968*'PACC GENERAL 2026'!$H968</f>
        <v>28000</v>
      </c>
      <c r="K968" s="34"/>
      <c r="L968" s="31"/>
      <c r="M968" s="31"/>
      <c r="N968" s="32"/>
      <c r="O968" s="32" t="s">
        <v>1460</v>
      </c>
      <c r="P968" s="320"/>
    </row>
    <row r="969" spans="1:16" s="97" customFormat="1" ht="15.5">
      <c r="A969" s="31" t="s">
        <v>29</v>
      </c>
      <c r="B969" s="31" t="s">
        <v>988</v>
      </c>
      <c r="C969" s="32" t="s">
        <v>138</v>
      </c>
      <c r="D969" s="155">
        <v>80</v>
      </c>
      <c r="E969" s="231"/>
      <c r="F969" s="231">
        <v>20</v>
      </c>
      <c r="G969" s="133"/>
      <c r="H969" s="67">
        <f>+Table_1[[#This Row],[Column7]]+Table_1[[#This Row],[Column6]]+Table_1[[#This Row],[Column5]]+Table_1[[#This Row],[Column4]]</f>
        <v>100</v>
      </c>
      <c r="I969" s="38">
        <v>5200</v>
      </c>
      <c r="J969" s="34">
        <f>'PACC GENERAL 2026'!$I969*'PACC GENERAL 2026'!$H969</f>
        <v>520000</v>
      </c>
      <c r="K969" s="34"/>
      <c r="L969" s="31"/>
      <c r="M969" s="31"/>
      <c r="N969" s="32"/>
      <c r="O969" s="32" t="s">
        <v>1460</v>
      </c>
      <c r="P969" s="320"/>
    </row>
    <row r="970" spans="1:16" s="97" customFormat="1" ht="15.5">
      <c r="A970" s="31" t="s">
        <v>29</v>
      </c>
      <c r="B970" s="31" t="s">
        <v>209</v>
      </c>
      <c r="C970" s="32" t="s">
        <v>94</v>
      </c>
      <c r="D970" s="155">
        <v>100</v>
      </c>
      <c r="E970" s="231"/>
      <c r="F970" s="231"/>
      <c r="G970" s="133"/>
      <c r="H970" s="67">
        <f>+Table_1[[#This Row],[Column7]]+Table_1[[#This Row],[Column6]]+Table_1[[#This Row],[Column5]]+Table_1[[#This Row],[Column4]]</f>
        <v>100</v>
      </c>
      <c r="I970" s="38">
        <v>9800</v>
      </c>
      <c r="J970" s="34">
        <f>'PACC GENERAL 2026'!$I970*'PACC GENERAL 2026'!$H970</f>
        <v>980000</v>
      </c>
      <c r="K970" s="34"/>
      <c r="L970" s="31"/>
      <c r="M970" s="31"/>
      <c r="N970" s="32"/>
      <c r="O970" s="32" t="s">
        <v>1191</v>
      </c>
      <c r="P970" s="320"/>
    </row>
    <row r="971" spans="1:16" s="97" customFormat="1" ht="15.5">
      <c r="A971" s="31" t="s">
        <v>29</v>
      </c>
      <c r="B971" s="31" t="s">
        <v>210</v>
      </c>
      <c r="C971" s="32" t="s">
        <v>138</v>
      </c>
      <c r="D971" s="155">
        <f>20-20</f>
        <v>0</v>
      </c>
      <c r="E971" s="231"/>
      <c r="F971" s="231"/>
      <c r="G971" s="133"/>
      <c r="H971" s="67">
        <f>+Table_1[[#This Row],[Column7]]+Table_1[[#This Row],[Column6]]+Table_1[[#This Row],[Column5]]+Table_1[[#This Row],[Column4]]</f>
        <v>0</v>
      </c>
      <c r="I971" s="38">
        <v>7800</v>
      </c>
      <c r="J971" s="34">
        <f>'PACC GENERAL 2026'!$I971*'PACC GENERAL 2026'!$H971</f>
        <v>0</v>
      </c>
      <c r="K971" s="34"/>
      <c r="L971" s="31"/>
      <c r="M971" s="31"/>
      <c r="N971" s="32"/>
      <c r="O971" s="32" t="s">
        <v>1191</v>
      </c>
      <c r="P971" s="320"/>
    </row>
    <row r="972" spans="1:16" s="97" customFormat="1" ht="15.5">
      <c r="A972" s="31" t="s">
        <v>29</v>
      </c>
      <c r="B972" s="31" t="s">
        <v>245</v>
      </c>
      <c r="C972" s="32" t="s">
        <v>94</v>
      </c>
      <c r="D972" s="155">
        <v>1</v>
      </c>
      <c r="E972" s="231"/>
      <c r="F972" s="231"/>
      <c r="G972" s="133"/>
      <c r="H972" s="67">
        <f>+Table_1[[#This Row],[Column7]]+Table_1[[#This Row],[Column6]]+Table_1[[#This Row],[Column5]]+Table_1[[#This Row],[Column4]]</f>
        <v>1</v>
      </c>
      <c r="I972" s="38">
        <v>110000</v>
      </c>
      <c r="J972" s="34">
        <f>'PACC GENERAL 2026'!$I972*'PACC GENERAL 2026'!$H972</f>
        <v>110000</v>
      </c>
      <c r="K972" s="34"/>
      <c r="L972" s="31"/>
      <c r="M972" s="31"/>
      <c r="N972" s="32"/>
      <c r="O972" s="32" t="s">
        <v>1191</v>
      </c>
      <c r="P972" s="320"/>
    </row>
    <row r="973" spans="1:16" s="97" customFormat="1" ht="31">
      <c r="A973" s="31" t="s">
        <v>29</v>
      </c>
      <c r="B973" s="31" t="s">
        <v>390</v>
      </c>
      <c r="C973" s="32" t="s">
        <v>94</v>
      </c>
      <c r="D973" s="155">
        <v>75</v>
      </c>
      <c r="E973" s="231"/>
      <c r="F973" s="231"/>
      <c r="G973" s="133"/>
      <c r="H973" s="67">
        <f>+Table_1[[#This Row],[Column7]]+Table_1[[#This Row],[Column6]]+Table_1[[#This Row],[Column5]]+Table_1[[#This Row],[Column4]]</f>
        <v>75</v>
      </c>
      <c r="I973" s="38">
        <v>900</v>
      </c>
      <c r="J973" s="34">
        <f>'PACC GENERAL 2026'!$I973*'PACC GENERAL 2026'!$H973</f>
        <v>67500</v>
      </c>
      <c r="K973" s="34"/>
      <c r="L973" s="31"/>
      <c r="M973" s="31"/>
      <c r="N973" s="32"/>
      <c r="O973" s="32" t="s">
        <v>1191</v>
      </c>
      <c r="P973" s="320"/>
    </row>
    <row r="974" spans="1:16" s="97" customFormat="1" ht="15.5">
      <c r="A974" s="31" t="s">
        <v>29</v>
      </c>
      <c r="B974" s="31" t="s">
        <v>224</v>
      </c>
      <c r="C974" s="32" t="s">
        <v>199</v>
      </c>
      <c r="D974" s="155">
        <v>2</v>
      </c>
      <c r="E974" s="231"/>
      <c r="F974" s="231"/>
      <c r="G974" s="133"/>
      <c r="H974" s="67">
        <f>+Table_1[[#This Row],[Column7]]+Table_1[[#This Row],[Column6]]+Table_1[[#This Row],[Column5]]+Table_1[[#This Row],[Column4]]</f>
        <v>2</v>
      </c>
      <c r="I974" s="38">
        <v>4000</v>
      </c>
      <c r="J974" s="34">
        <f>'PACC GENERAL 2026'!$I974*'PACC GENERAL 2026'!$H974</f>
        <v>8000</v>
      </c>
      <c r="K974" s="34"/>
      <c r="L974" s="31"/>
      <c r="M974" s="31"/>
      <c r="N974" s="32"/>
      <c r="O974" s="32" t="s">
        <v>1191</v>
      </c>
      <c r="P974" s="320"/>
    </row>
    <row r="975" spans="1:16" s="97" customFormat="1" ht="15.5">
      <c r="A975" s="31" t="s">
        <v>29</v>
      </c>
      <c r="B975" s="31" t="s">
        <v>226</v>
      </c>
      <c r="C975" s="32" t="s">
        <v>199</v>
      </c>
      <c r="D975" s="155">
        <v>6</v>
      </c>
      <c r="E975" s="231"/>
      <c r="F975" s="231"/>
      <c r="G975" s="133"/>
      <c r="H975" s="67">
        <f>+Table_1[[#This Row],[Column7]]+Table_1[[#This Row],[Column6]]+Table_1[[#This Row],[Column5]]+Table_1[[#This Row],[Column4]]</f>
        <v>6</v>
      </c>
      <c r="I975" s="38">
        <v>6000</v>
      </c>
      <c r="J975" s="34">
        <f>'PACC GENERAL 2026'!$I975*'PACC GENERAL 2026'!$H975</f>
        <v>36000</v>
      </c>
      <c r="K975" s="34"/>
      <c r="L975" s="31"/>
      <c r="M975" s="31"/>
      <c r="N975" s="32"/>
      <c r="O975" s="32" t="s">
        <v>1191</v>
      </c>
      <c r="P975" s="320"/>
    </row>
    <row r="976" spans="1:16" s="97" customFormat="1" ht="15.5">
      <c r="A976" s="31" t="s">
        <v>29</v>
      </c>
      <c r="B976" s="31" t="s">
        <v>221</v>
      </c>
      <c r="C976" s="32" t="s">
        <v>199</v>
      </c>
      <c r="D976" s="155">
        <v>2</v>
      </c>
      <c r="E976" s="231"/>
      <c r="F976" s="231"/>
      <c r="G976" s="133"/>
      <c r="H976" s="67">
        <f>+Table_1[[#This Row],[Column7]]+Table_1[[#This Row],[Column6]]+Table_1[[#This Row],[Column5]]+Table_1[[#This Row],[Column4]]</f>
        <v>2</v>
      </c>
      <c r="I976" s="38">
        <v>12500</v>
      </c>
      <c r="J976" s="34">
        <f>'PACC GENERAL 2026'!$I976*'PACC GENERAL 2026'!$H976</f>
        <v>25000</v>
      </c>
      <c r="K976" s="34"/>
      <c r="L976" s="31"/>
      <c r="M976" s="31"/>
      <c r="N976" s="32"/>
      <c r="O976" s="32" t="s">
        <v>1191</v>
      </c>
      <c r="P976" s="320"/>
    </row>
    <row r="977" spans="1:16" s="97" customFormat="1" ht="15.5">
      <c r="A977" s="31" t="s">
        <v>29</v>
      </c>
      <c r="B977" s="31" t="s">
        <v>1210</v>
      </c>
      <c r="C977" s="32" t="s">
        <v>138</v>
      </c>
      <c r="D977" s="155">
        <v>1</v>
      </c>
      <c r="E977" s="231"/>
      <c r="F977" s="231"/>
      <c r="G977" s="133"/>
      <c r="H977" s="67">
        <f>+Table_1[[#This Row],[Column7]]+Table_1[[#This Row],[Column6]]+Table_1[[#This Row],[Column5]]+Table_1[[#This Row],[Column4]]</f>
        <v>1</v>
      </c>
      <c r="I977" s="38">
        <v>4500</v>
      </c>
      <c r="J977" s="34">
        <f>'PACC GENERAL 2026'!$I977*'PACC GENERAL 2026'!$H977</f>
        <v>4500</v>
      </c>
      <c r="K977" s="34"/>
      <c r="L977" s="31"/>
      <c r="M977" s="31"/>
      <c r="N977" s="32"/>
      <c r="O977" s="32" t="s">
        <v>1191</v>
      </c>
      <c r="P977" s="320"/>
    </row>
    <row r="978" spans="1:16" s="97" customFormat="1" ht="15.5">
      <c r="A978" s="31" t="s">
        <v>29</v>
      </c>
      <c r="B978" s="31" t="s">
        <v>1211</v>
      </c>
      <c r="C978" s="32" t="s">
        <v>138</v>
      </c>
      <c r="D978" s="155">
        <v>2</v>
      </c>
      <c r="E978" s="231"/>
      <c r="F978" s="231"/>
      <c r="G978" s="133"/>
      <c r="H978" s="67">
        <f>+Table_1[[#This Row],[Column7]]+Table_1[[#This Row],[Column6]]+Table_1[[#This Row],[Column5]]+Table_1[[#This Row],[Column4]]</f>
        <v>2</v>
      </c>
      <c r="I978" s="38">
        <v>7000</v>
      </c>
      <c r="J978" s="34">
        <f>'PACC GENERAL 2026'!$I978*'PACC GENERAL 2026'!$H978</f>
        <v>14000</v>
      </c>
      <c r="K978" s="34"/>
      <c r="L978" s="31"/>
      <c r="M978" s="31"/>
      <c r="N978" s="32"/>
      <c r="O978" s="32" t="s">
        <v>1191</v>
      </c>
      <c r="P978" s="320"/>
    </row>
    <row r="979" spans="1:16" s="97" customFormat="1" ht="15.5">
      <c r="A979" s="31" t="s">
        <v>29</v>
      </c>
      <c r="B979" s="31" t="s">
        <v>1212</v>
      </c>
      <c r="C979" s="32" t="s">
        <v>138</v>
      </c>
      <c r="D979" s="155">
        <v>3</v>
      </c>
      <c r="E979" s="231"/>
      <c r="F979" s="231"/>
      <c r="G979" s="133"/>
      <c r="H979" s="67">
        <f>+Table_1[[#This Row],[Column7]]+Table_1[[#This Row],[Column6]]+Table_1[[#This Row],[Column5]]+Table_1[[#This Row],[Column4]]</f>
        <v>3</v>
      </c>
      <c r="I979" s="38">
        <v>700000</v>
      </c>
      <c r="J979" s="34">
        <f>'PACC GENERAL 2026'!$I979*'PACC GENERAL 2026'!$H979</f>
        <v>2100000</v>
      </c>
      <c r="K979" s="34"/>
      <c r="L979" s="31"/>
      <c r="M979" s="31"/>
      <c r="N979" s="32"/>
      <c r="O979" s="32" t="s">
        <v>1191</v>
      </c>
      <c r="P979" s="320"/>
    </row>
    <row r="980" spans="1:16" s="97" customFormat="1" ht="15.5">
      <c r="A980" s="31" t="s">
        <v>29</v>
      </c>
      <c r="B980" s="31" t="s">
        <v>964</v>
      </c>
      <c r="C980" s="32" t="s">
        <v>94</v>
      </c>
      <c r="D980" s="137"/>
      <c r="E980" s="137"/>
      <c r="F980" s="133">
        <v>2</v>
      </c>
      <c r="G980" s="133"/>
      <c r="H980" s="67">
        <f>+Table_1[[#This Row],[Column7]]+Table_1[[#This Row],[Column6]]+Table_1[[#This Row],[Column5]]+Table_1[[#This Row],[Column4]]</f>
        <v>2</v>
      </c>
      <c r="I980" s="38">
        <v>50000</v>
      </c>
      <c r="J980" s="34">
        <f>'PACC GENERAL 2026'!$I980*'PACC GENERAL 2026'!$H980</f>
        <v>100000</v>
      </c>
      <c r="K980" s="230"/>
      <c r="L980" s="48"/>
      <c r="M980" s="48"/>
      <c r="N980" s="63"/>
      <c r="O980" s="32" t="s">
        <v>941</v>
      </c>
      <c r="P980" s="320"/>
    </row>
    <row r="981" spans="1:16" s="97" customFormat="1" ht="31">
      <c r="A981" s="31" t="s">
        <v>29</v>
      </c>
      <c r="B981" s="31" t="s">
        <v>965</v>
      </c>
      <c r="C981" s="32" t="s">
        <v>94</v>
      </c>
      <c r="D981" s="137"/>
      <c r="E981" s="137"/>
      <c r="F981" s="133">
        <v>2</v>
      </c>
      <c r="G981" s="133"/>
      <c r="H981" s="67">
        <f>+Table_1[[#This Row],[Column7]]+Table_1[[#This Row],[Column6]]+Table_1[[#This Row],[Column5]]+Table_1[[#This Row],[Column4]]</f>
        <v>2</v>
      </c>
      <c r="I981" s="38">
        <v>80000</v>
      </c>
      <c r="J981" s="34">
        <f>'PACC GENERAL 2026'!$I981*'PACC GENERAL 2026'!$H981</f>
        <v>160000</v>
      </c>
      <c r="K981" s="230"/>
      <c r="L981" s="48"/>
      <c r="M981" s="48"/>
      <c r="N981" s="63"/>
      <c r="O981" s="32" t="s">
        <v>941</v>
      </c>
      <c r="P981" s="320"/>
    </row>
    <row r="982" spans="1:16" s="97" customFormat="1" ht="15.5">
      <c r="A982" s="31" t="s">
        <v>29</v>
      </c>
      <c r="B982" s="31" t="s">
        <v>966</v>
      </c>
      <c r="C982" s="32" t="s">
        <v>94</v>
      </c>
      <c r="D982" s="137"/>
      <c r="E982" s="137"/>
      <c r="F982" s="133">
        <v>1</v>
      </c>
      <c r="G982" s="133"/>
      <c r="H982" s="67">
        <f>+Table_1[[#This Row],[Column7]]+Table_1[[#This Row],[Column6]]+Table_1[[#This Row],[Column5]]+Table_1[[#This Row],[Column4]]</f>
        <v>1</v>
      </c>
      <c r="I982" s="38">
        <v>50000</v>
      </c>
      <c r="J982" s="34">
        <f>'PACC GENERAL 2026'!$I982*'PACC GENERAL 2026'!$H982</f>
        <v>50000</v>
      </c>
      <c r="K982" s="230"/>
      <c r="L982" s="48"/>
      <c r="M982" s="48"/>
      <c r="N982" s="63"/>
      <c r="O982" s="32" t="s">
        <v>941</v>
      </c>
      <c r="P982" s="320"/>
    </row>
    <row r="983" spans="1:16" s="97" customFormat="1" ht="15.5">
      <c r="A983" s="31" t="s">
        <v>29</v>
      </c>
      <c r="B983" s="31" t="s">
        <v>967</v>
      </c>
      <c r="C983" s="32" t="s">
        <v>94</v>
      </c>
      <c r="D983" s="137"/>
      <c r="E983" s="137"/>
      <c r="F983" s="133">
        <v>1</v>
      </c>
      <c r="G983" s="133"/>
      <c r="H983" s="67">
        <f>+Table_1[[#This Row],[Column7]]+Table_1[[#This Row],[Column6]]+Table_1[[#This Row],[Column5]]+Table_1[[#This Row],[Column4]]</f>
        <v>1</v>
      </c>
      <c r="I983" s="38">
        <v>150000</v>
      </c>
      <c r="J983" s="34">
        <f>'PACC GENERAL 2026'!$I983*'PACC GENERAL 2026'!$H983</f>
        <v>150000</v>
      </c>
      <c r="K983" s="230"/>
      <c r="L983" s="48"/>
      <c r="M983" s="48"/>
      <c r="N983" s="63"/>
      <c r="O983" s="32" t="s">
        <v>941</v>
      </c>
      <c r="P983" s="320"/>
    </row>
    <row r="984" spans="1:16" ht="15.5">
      <c r="A984" s="9" t="s">
        <v>29</v>
      </c>
      <c r="B984" s="10"/>
      <c r="C984" s="10"/>
      <c r="D984" s="152"/>
      <c r="E984" s="152"/>
      <c r="F984" s="152"/>
      <c r="G984" s="152"/>
      <c r="H984" s="111"/>
      <c r="I984" s="44"/>
      <c r="J984" s="12"/>
      <c r="K984" s="13">
        <f>SUM(J936:J983)</f>
        <v>8734231.5099999998</v>
      </c>
      <c r="L984" s="10"/>
      <c r="M984" s="10"/>
      <c r="N984" s="10"/>
      <c r="O984" s="73"/>
    </row>
    <row r="985" spans="1:16" s="97" customFormat="1" ht="31">
      <c r="A985" s="31" t="s">
        <v>30</v>
      </c>
      <c r="B985" s="31" t="s">
        <v>229</v>
      </c>
      <c r="C985" s="32" t="s">
        <v>138</v>
      </c>
      <c r="D985" s="133"/>
      <c r="E985" s="133">
        <v>1</v>
      </c>
      <c r="F985" s="133"/>
      <c r="G985" s="133"/>
      <c r="H985" s="67">
        <f>+Table_1[[#This Row],[Column7]]+Table_1[[#This Row],[Column6]]+Table_1[[#This Row],[Column5]]+Table_1[[#This Row],[Column4]]</f>
        <v>1</v>
      </c>
      <c r="I985" s="38">
        <v>22000</v>
      </c>
      <c r="J985" s="17">
        <f>'PACC GENERAL 2026'!$I985*'PACC GENERAL 2026'!$H985</f>
        <v>22000</v>
      </c>
      <c r="K985" s="35"/>
      <c r="L985" s="31"/>
      <c r="M985" s="31"/>
      <c r="N985" s="32"/>
      <c r="O985" s="32" t="s">
        <v>414</v>
      </c>
    </row>
    <row r="986" spans="1:16" s="97" customFormat="1" ht="31">
      <c r="A986" s="31" t="s">
        <v>30</v>
      </c>
      <c r="B986" s="31" t="s">
        <v>230</v>
      </c>
      <c r="C986" s="32" t="s">
        <v>138</v>
      </c>
      <c r="D986" s="133"/>
      <c r="E986" s="133">
        <v>1</v>
      </c>
      <c r="F986" s="133"/>
      <c r="G986" s="133"/>
      <c r="H986" s="67">
        <f>+Table_1[[#This Row],[Column7]]+Table_1[[#This Row],[Column6]]+Table_1[[#This Row],[Column5]]+Table_1[[#This Row],[Column4]]</f>
        <v>1</v>
      </c>
      <c r="I986" s="38">
        <v>28000</v>
      </c>
      <c r="J986" s="17">
        <f>'PACC GENERAL 2026'!$I986*'PACC GENERAL 2026'!$H986</f>
        <v>28000</v>
      </c>
      <c r="K986" s="35"/>
      <c r="L986" s="31"/>
      <c r="M986" s="31"/>
      <c r="N986" s="32"/>
      <c r="O986" s="32" t="s">
        <v>414</v>
      </c>
    </row>
    <row r="987" spans="1:16" s="97" customFormat="1" ht="31">
      <c r="A987" s="31" t="s">
        <v>30</v>
      </c>
      <c r="B987" s="31" t="s">
        <v>231</v>
      </c>
      <c r="C987" s="32" t="s">
        <v>138</v>
      </c>
      <c r="D987" s="133"/>
      <c r="E987" s="133">
        <v>1</v>
      </c>
      <c r="F987" s="133"/>
      <c r="G987" s="133"/>
      <c r="H987" s="67">
        <f>+Table_1[[#This Row],[Column7]]+Table_1[[#This Row],[Column6]]+Table_1[[#This Row],[Column5]]+Table_1[[#This Row],[Column4]]</f>
        <v>1</v>
      </c>
      <c r="I987" s="38">
        <v>22000</v>
      </c>
      <c r="J987" s="17">
        <f>'PACC GENERAL 2026'!$I987*'PACC GENERAL 2026'!$H987</f>
        <v>22000</v>
      </c>
      <c r="K987" s="35"/>
      <c r="L987" s="31"/>
      <c r="M987" s="31"/>
      <c r="N987" s="32"/>
      <c r="O987" s="32" t="s">
        <v>414</v>
      </c>
    </row>
    <row r="988" spans="1:16" s="97" customFormat="1" ht="31">
      <c r="A988" s="31" t="s">
        <v>30</v>
      </c>
      <c r="B988" s="31" t="s">
        <v>232</v>
      </c>
      <c r="C988" s="32" t="s">
        <v>138</v>
      </c>
      <c r="D988" s="133"/>
      <c r="E988" s="133">
        <v>1</v>
      </c>
      <c r="F988" s="133"/>
      <c r="G988" s="133"/>
      <c r="H988" s="67">
        <f>+Table_1[[#This Row],[Column7]]+Table_1[[#This Row],[Column6]]+Table_1[[#This Row],[Column5]]+Table_1[[#This Row],[Column4]]</f>
        <v>1</v>
      </c>
      <c r="I988" s="38">
        <v>18500</v>
      </c>
      <c r="J988" s="34">
        <f>'PACC GENERAL 2026'!$I988*'PACC GENERAL 2026'!$H988</f>
        <v>18500</v>
      </c>
      <c r="K988" s="35"/>
      <c r="L988" s="31"/>
      <c r="M988" s="31"/>
      <c r="N988" s="32"/>
      <c r="O988" s="100" t="s">
        <v>414</v>
      </c>
    </row>
    <row r="989" spans="1:16" s="97" customFormat="1" ht="31">
      <c r="A989" s="31" t="s">
        <v>30</v>
      </c>
      <c r="B989" s="31" t="s">
        <v>233</v>
      </c>
      <c r="C989" s="32" t="s">
        <v>138</v>
      </c>
      <c r="D989" s="133"/>
      <c r="E989" s="133">
        <v>1</v>
      </c>
      <c r="F989" s="133"/>
      <c r="G989" s="133"/>
      <c r="H989" s="67">
        <f>+Table_1[[#This Row],[Column7]]+Table_1[[#This Row],[Column6]]+Table_1[[#This Row],[Column5]]+Table_1[[#This Row],[Column4]]</f>
        <v>1</v>
      </c>
      <c r="I989" s="38">
        <v>15000</v>
      </c>
      <c r="J989" s="17">
        <f>'PACC GENERAL 2026'!$I989*'PACC GENERAL 2026'!$H989</f>
        <v>15000</v>
      </c>
      <c r="K989" s="35"/>
      <c r="L989" s="31"/>
      <c r="M989" s="31"/>
      <c r="N989" s="32"/>
      <c r="O989" s="32" t="s">
        <v>414</v>
      </c>
    </row>
    <row r="990" spans="1:16" ht="31">
      <c r="A990" s="9" t="s">
        <v>30</v>
      </c>
      <c r="B990" s="10"/>
      <c r="C990" s="10"/>
      <c r="D990" s="152"/>
      <c r="E990" s="152"/>
      <c r="F990" s="152"/>
      <c r="G990" s="152"/>
      <c r="H990" s="111"/>
      <c r="I990" s="44"/>
      <c r="J990" s="12"/>
      <c r="K990" s="13">
        <f>SUM(J985:J989)</f>
        <v>105500</v>
      </c>
      <c r="L990" s="10"/>
      <c r="M990" s="10"/>
      <c r="N990" s="10"/>
      <c r="O990" s="73"/>
    </row>
    <row r="991" spans="1:16" s="97" customFormat="1" ht="15.5">
      <c r="A991" s="31" t="s">
        <v>624</v>
      </c>
      <c r="B991" s="31" t="s">
        <v>400</v>
      </c>
      <c r="C991" s="32" t="s">
        <v>94</v>
      </c>
      <c r="D991" s="182"/>
      <c r="E991" s="194"/>
      <c r="F991" s="199"/>
      <c r="G991" s="141"/>
      <c r="H991" s="67">
        <f>+Table_1[[#This Row],[Column7]]+Table_1[[#This Row],[Column6]]+Table_1[[#This Row],[Column5]]+Table_1[[#This Row],[Column4]]</f>
        <v>0</v>
      </c>
      <c r="I991" s="38">
        <v>1900</v>
      </c>
      <c r="J991" s="34">
        <f>'PACC GENERAL 2026'!$I991*'PACC GENERAL 2026'!$H991</f>
        <v>0</v>
      </c>
      <c r="K991" s="35"/>
      <c r="L991" s="100"/>
      <c r="M991" s="86"/>
      <c r="N991" s="86"/>
      <c r="O991" s="100"/>
      <c r="P991" s="320"/>
    </row>
    <row r="992" spans="1:16" s="97" customFormat="1" ht="15.5">
      <c r="A992" s="31" t="s">
        <v>624</v>
      </c>
      <c r="B992" s="31" t="s">
        <v>426</v>
      </c>
      <c r="C992" s="32" t="s">
        <v>94</v>
      </c>
      <c r="D992" s="194"/>
      <c r="E992" s="194"/>
      <c r="F992" s="182"/>
      <c r="G992" s="133"/>
      <c r="H992" s="67">
        <f>+Table_1[[#This Row],[Column7]]+Table_1[[#This Row],[Column6]]+Table_1[[#This Row],[Column5]]+Table_1[[#This Row],[Column4]]</f>
        <v>0</v>
      </c>
      <c r="I992" s="38">
        <v>2600</v>
      </c>
      <c r="J992" s="34">
        <f>'PACC GENERAL 2026'!$I992*'PACC GENERAL 2026'!$H992</f>
        <v>0</v>
      </c>
      <c r="K992" s="35"/>
      <c r="L992" s="32"/>
      <c r="M992" s="86"/>
      <c r="N992" s="86"/>
      <c r="O992" s="32"/>
      <c r="P992" s="320"/>
    </row>
    <row r="993" spans="1:16" s="97" customFormat="1" ht="15.5">
      <c r="A993" s="9" t="s">
        <v>624</v>
      </c>
      <c r="B993" s="10"/>
      <c r="C993" s="10"/>
      <c r="D993" s="152"/>
      <c r="E993" s="152"/>
      <c r="F993" s="152"/>
      <c r="G993" s="152"/>
      <c r="H993" s="111"/>
      <c r="I993" s="44"/>
      <c r="J993" s="12"/>
      <c r="K993" s="13">
        <f>SUM(J991:J992)</f>
        <v>0</v>
      </c>
      <c r="L993" s="73"/>
      <c r="M993" s="10"/>
      <c r="N993" s="10"/>
      <c r="O993" s="93"/>
    </row>
    <row r="994" spans="1:16" ht="15.75" customHeight="1">
      <c r="A994" s="16" t="s">
        <v>31</v>
      </c>
      <c r="B994" s="16" t="s">
        <v>608</v>
      </c>
      <c r="C994" s="276" t="s">
        <v>199</v>
      </c>
      <c r="F994" s="234">
        <v>18</v>
      </c>
      <c r="G994" s="232"/>
      <c r="H994" s="67">
        <f>+Table_1[[#This Row],[Column7]]+Table_1[[#This Row],[Column6]]+Table_1[[#This Row],[Column5]]+Table_1[[#This Row],[Column4]]</f>
        <v>18</v>
      </c>
      <c r="I994" s="233">
        <v>700</v>
      </c>
      <c r="J994" s="34">
        <f>'PACC GENERAL 2026'!$I994*'PACC GENERAL 2026'!$H994</f>
        <v>12600</v>
      </c>
      <c r="K994" s="17"/>
      <c r="L994" s="16"/>
      <c r="M994" s="16"/>
      <c r="N994" s="16"/>
      <c r="O994" s="276" t="s">
        <v>414</v>
      </c>
      <c r="P994" s="319"/>
    </row>
    <row r="995" spans="1:16" ht="15.75" customHeight="1">
      <c r="A995" s="16" t="s">
        <v>31</v>
      </c>
      <c r="B995" s="16" t="s">
        <v>223</v>
      </c>
      <c r="C995" s="276" t="s">
        <v>199</v>
      </c>
      <c r="F995" s="234">
        <v>52</v>
      </c>
      <c r="G995" s="232"/>
      <c r="H995" s="67">
        <f>+Table_1[[#This Row],[Column7]]+Table_1[[#This Row],[Column6]]+Table_1[[#This Row],[Column5]]+Table_1[[#This Row],[Column4]]</f>
        <v>52</v>
      </c>
      <c r="I995" s="233">
        <v>835.971</v>
      </c>
      <c r="J995" s="34">
        <f>'PACC GENERAL 2026'!$I995*'PACC GENERAL 2026'!$H995</f>
        <v>43470.491999999998</v>
      </c>
      <c r="K995" s="17"/>
      <c r="L995" s="16"/>
      <c r="M995" s="16"/>
      <c r="N995" s="16"/>
      <c r="O995" s="276" t="s">
        <v>414</v>
      </c>
      <c r="P995" s="319"/>
    </row>
    <row r="996" spans="1:16" ht="15.75" customHeight="1">
      <c r="A996" s="16" t="s">
        <v>31</v>
      </c>
      <c r="B996" s="16" t="s">
        <v>202</v>
      </c>
      <c r="C996" s="276" t="s">
        <v>94</v>
      </c>
      <c r="G996" s="232"/>
      <c r="H996" s="67">
        <f>+Table_1[[#This Row],[Column7]]+Table_1[[#This Row],[Column6]]+Table_1[[#This Row],[Column5]]+Table_1[[#This Row],[Column4]]</f>
        <v>0</v>
      </c>
      <c r="I996" s="233">
        <v>20</v>
      </c>
      <c r="J996" s="34">
        <f>'PACC GENERAL 2026'!$I996*'PACC GENERAL 2026'!$H996</f>
        <v>0</v>
      </c>
      <c r="K996" s="17"/>
      <c r="L996" s="16"/>
      <c r="M996" s="16"/>
      <c r="N996" s="276"/>
      <c r="O996" s="276" t="s">
        <v>414</v>
      </c>
      <c r="P996" s="319"/>
    </row>
    <row r="997" spans="1:16" s="97" customFormat="1" ht="15.75" customHeight="1">
      <c r="A997" s="31" t="s">
        <v>31</v>
      </c>
      <c r="B997" s="31" t="s">
        <v>202</v>
      </c>
      <c r="C997" s="32" t="s">
        <v>94</v>
      </c>
      <c r="D997" s="133">
        <v>20000</v>
      </c>
      <c r="E997" s="137"/>
      <c r="F997" s="353">
        <v>10000</v>
      </c>
      <c r="G997" s="354"/>
      <c r="H997" s="67">
        <f>+Table_1[[#This Row],[Column7]]+Table_1[[#This Row],[Column6]]+Table_1[[#This Row],[Column5]]+Table_1[[#This Row],[Column4]]</f>
        <v>30000</v>
      </c>
      <c r="I997" s="38">
        <v>20</v>
      </c>
      <c r="J997" s="34">
        <f>'PACC GENERAL 2026'!$I997*'PACC GENERAL 2026'!$H997</f>
        <v>600000</v>
      </c>
      <c r="K997" s="34"/>
      <c r="L997" s="31"/>
      <c r="M997" s="31"/>
      <c r="N997" s="31"/>
      <c r="O997" s="32" t="s">
        <v>1460</v>
      </c>
      <c r="P997" s="355"/>
    </row>
    <row r="998" spans="1:16" s="97" customFormat="1" ht="15.75" customHeight="1">
      <c r="A998" s="31" t="s">
        <v>31</v>
      </c>
      <c r="B998" s="31" t="s">
        <v>609</v>
      </c>
      <c r="C998" s="32" t="s">
        <v>199</v>
      </c>
      <c r="D998" s="137"/>
      <c r="E998" s="137"/>
      <c r="F998" s="137"/>
      <c r="G998" s="354"/>
      <c r="H998" s="67">
        <f>+Table_1[[#This Row],[Column7]]+Table_1[[#This Row],[Column6]]+Table_1[[#This Row],[Column5]]+Table_1[[#This Row],[Column4]]</f>
        <v>0</v>
      </c>
      <c r="I998" s="33">
        <v>3000</v>
      </c>
      <c r="J998" s="34">
        <f>'PACC GENERAL 2026'!$I998*'PACC GENERAL 2026'!$H998</f>
        <v>0</v>
      </c>
      <c r="K998" s="34"/>
      <c r="L998" s="31"/>
      <c r="M998" s="31"/>
      <c r="N998" s="31"/>
      <c r="O998" s="32" t="s">
        <v>414</v>
      </c>
      <c r="P998" s="330"/>
    </row>
    <row r="999" spans="1:16" s="97" customFormat="1" ht="15.75" customHeight="1">
      <c r="A999" s="31" t="s">
        <v>31</v>
      </c>
      <c r="B999" s="31" t="s">
        <v>609</v>
      </c>
      <c r="C999" s="32" t="s">
        <v>199</v>
      </c>
      <c r="D999" s="133">
        <v>20</v>
      </c>
      <c r="E999" s="353"/>
      <c r="F999" s="353">
        <v>20</v>
      </c>
      <c r="G999" s="354"/>
      <c r="H999" s="67">
        <f>+Table_1[[#This Row],[Column7]]+Table_1[[#This Row],[Column6]]+Table_1[[#This Row],[Column5]]+Table_1[[#This Row],[Column4]]</f>
        <v>40</v>
      </c>
      <c r="I999" s="38">
        <v>3000</v>
      </c>
      <c r="J999" s="34">
        <f>'PACC GENERAL 2026'!$I999*'PACC GENERAL 2026'!$H999</f>
        <v>120000</v>
      </c>
      <c r="K999" s="34"/>
      <c r="L999" s="31"/>
      <c r="M999" s="31"/>
      <c r="N999" s="31"/>
      <c r="O999" s="32" t="s">
        <v>1460</v>
      </c>
      <c r="P999" s="355"/>
    </row>
    <row r="1000" spans="1:16" s="97" customFormat="1" ht="15.5">
      <c r="A1000" s="31" t="s">
        <v>31</v>
      </c>
      <c r="B1000" s="31" t="s">
        <v>1218</v>
      </c>
      <c r="C1000" s="32" t="s">
        <v>138</v>
      </c>
      <c r="D1000" s="133">
        <v>5</v>
      </c>
      <c r="E1000" s="137"/>
      <c r="F1000" s="133"/>
      <c r="G1000" s="133"/>
      <c r="H1000" s="67">
        <f>+Table_1[[#This Row],[Column7]]+Table_1[[#This Row],[Column6]]+Table_1[[#This Row],[Column5]]+Table_1[[#This Row],[Column4]]</f>
        <v>5</v>
      </c>
      <c r="I1000" s="38">
        <v>4500</v>
      </c>
      <c r="J1000" s="34">
        <f>'PACC GENERAL 2026'!$I1000*'PACC GENERAL 2026'!$H1000</f>
        <v>22500</v>
      </c>
      <c r="K1000" s="34"/>
      <c r="L1000" s="31"/>
      <c r="M1000" s="31"/>
      <c r="N1000" s="31"/>
      <c r="O1000" s="276" t="s">
        <v>1191</v>
      </c>
    </row>
    <row r="1001" spans="1:16" ht="15.75" customHeight="1">
      <c r="A1001" s="16" t="s">
        <v>31</v>
      </c>
      <c r="B1001" s="16" t="s">
        <v>238</v>
      </c>
      <c r="C1001" s="276" t="s">
        <v>94</v>
      </c>
      <c r="D1001" s="149">
        <v>35</v>
      </c>
      <c r="E1001" s="234"/>
      <c r="F1001" s="232"/>
      <c r="G1001" s="232"/>
      <c r="H1001" s="67">
        <f>+Table_1[[#This Row],[Column7]]+Table_1[[#This Row],[Column6]]+Table_1[[#This Row],[Column5]]+Table_1[[#This Row],[Column4]]</f>
        <v>35</v>
      </c>
      <c r="I1001" s="43">
        <v>4500</v>
      </c>
      <c r="J1001" s="34">
        <f>'PACC GENERAL 2026'!$I1001*'PACC GENERAL 2026'!$H1001</f>
        <v>157500</v>
      </c>
      <c r="K1001" s="17"/>
      <c r="L1001" s="16"/>
      <c r="M1001" s="16"/>
      <c r="N1001" s="16"/>
      <c r="O1001" s="276" t="s">
        <v>1191</v>
      </c>
      <c r="P1001" s="324"/>
    </row>
    <row r="1002" spans="1:16" ht="15.75" customHeight="1">
      <c r="A1002" s="16" t="s">
        <v>31</v>
      </c>
      <c r="B1002" s="16" t="s">
        <v>239</v>
      </c>
      <c r="C1002" s="276" t="s">
        <v>138</v>
      </c>
      <c r="D1002" s="149">
        <v>5000</v>
      </c>
      <c r="E1002" s="234"/>
      <c r="F1002" s="232"/>
      <c r="G1002" s="232"/>
      <c r="H1002" s="67">
        <f>+Table_1[[#This Row],[Column7]]+Table_1[[#This Row],[Column6]]+Table_1[[#This Row],[Column5]]+Table_1[[#This Row],[Column4]]</f>
        <v>5000</v>
      </c>
      <c r="I1002" s="43">
        <v>130</v>
      </c>
      <c r="J1002" s="34">
        <f>'PACC GENERAL 2026'!$I1002*'PACC GENERAL 2026'!$H1002</f>
        <v>650000</v>
      </c>
      <c r="K1002" s="17"/>
      <c r="L1002" s="16"/>
      <c r="M1002" s="16"/>
      <c r="N1002" s="16"/>
      <c r="O1002" s="276" t="s">
        <v>1191</v>
      </c>
      <c r="P1002" s="324"/>
    </row>
    <row r="1003" spans="1:16" s="97" customFormat="1" ht="15.5">
      <c r="A1003" s="31" t="s">
        <v>31</v>
      </c>
      <c r="B1003" s="31" t="s">
        <v>1215</v>
      </c>
      <c r="C1003" s="32" t="s">
        <v>138</v>
      </c>
      <c r="D1003" s="137">
        <v>40</v>
      </c>
      <c r="E1003" s="283"/>
      <c r="F1003" s="133"/>
      <c r="G1003" s="133"/>
      <c r="H1003" s="67">
        <f>+Table_1[[#This Row],[Column7]]+Table_1[[#This Row],[Column6]]+Table_1[[#This Row],[Column5]]+Table_1[[#This Row],[Column4]]</f>
        <v>40</v>
      </c>
      <c r="I1003" s="38">
        <v>5500</v>
      </c>
      <c r="J1003" s="34">
        <f>'PACC GENERAL 2026'!$I1003*'PACC GENERAL 2026'!$H1003</f>
        <v>220000</v>
      </c>
      <c r="K1003" s="34"/>
      <c r="L1003" s="31"/>
      <c r="M1003" s="31"/>
      <c r="N1003" s="31"/>
      <c r="O1003" s="276" t="s">
        <v>1191</v>
      </c>
      <c r="P1003" s="320"/>
    </row>
    <row r="1004" spans="1:16" ht="15.75" customHeight="1">
      <c r="A1004" s="16" t="s">
        <v>31</v>
      </c>
      <c r="B1004" s="16" t="s">
        <v>1213</v>
      </c>
      <c r="C1004" s="276" t="s">
        <v>199</v>
      </c>
      <c r="D1004" s="149">
        <v>6</v>
      </c>
      <c r="E1004" s="234"/>
      <c r="F1004" s="232"/>
      <c r="G1004" s="232"/>
      <c r="H1004" s="67">
        <f>+Table_1[[#This Row],[Column7]]+Table_1[[#This Row],[Column6]]+Table_1[[#This Row],[Column5]]+Table_1[[#This Row],[Column4]]</f>
        <v>6</v>
      </c>
      <c r="I1004" s="43">
        <v>38000</v>
      </c>
      <c r="J1004" s="34">
        <f>'PACC GENERAL 2026'!$I1004*'PACC GENERAL 2026'!$H1004</f>
        <v>228000</v>
      </c>
      <c r="K1004" s="17"/>
      <c r="L1004" s="16"/>
      <c r="M1004" s="16"/>
      <c r="N1004" s="16"/>
      <c r="O1004" s="276" t="s">
        <v>1191</v>
      </c>
      <c r="P1004" s="324"/>
    </row>
    <row r="1005" spans="1:16" ht="15.75" customHeight="1">
      <c r="A1005" s="16" t="s">
        <v>31</v>
      </c>
      <c r="B1005" s="16" t="s">
        <v>1214</v>
      </c>
      <c r="C1005" s="276" t="s">
        <v>199</v>
      </c>
      <c r="D1005" s="149">
        <v>6</v>
      </c>
      <c r="E1005" s="234"/>
      <c r="F1005" s="232"/>
      <c r="G1005" s="232"/>
      <c r="H1005" s="67">
        <f>+Table_1[[#This Row],[Column7]]+Table_1[[#This Row],[Column6]]+Table_1[[#This Row],[Column5]]+Table_1[[#This Row],[Column4]]</f>
        <v>6</v>
      </c>
      <c r="I1005" s="43">
        <v>38000</v>
      </c>
      <c r="J1005" s="34">
        <f>'PACC GENERAL 2026'!$I1005*'PACC GENERAL 2026'!$H1005</f>
        <v>228000</v>
      </c>
      <c r="K1005" s="17"/>
      <c r="L1005" s="16"/>
      <c r="M1005" s="16"/>
      <c r="N1005" s="16"/>
      <c r="O1005" s="276" t="s">
        <v>1191</v>
      </c>
      <c r="P1005" s="324"/>
    </row>
    <row r="1006" spans="1:16" s="97" customFormat="1" ht="15.5">
      <c r="A1006" s="31" t="s">
        <v>31</v>
      </c>
      <c r="B1006" s="31" t="s">
        <v>997</v>
      </c>
      <c r="C1006" s="32" t="s">
        <v>138</v>
      </c>
      <c r="D1006" s="137">
        <v>4</v>
      </c>
      <c r="E1006" s="283"/>
      <c r="F1006" s="133">
        <v>2</v>
      </c>
      <c r="G1006" s="133"/>
      <c r="H1006" s="67">
        <f>+Table_1[[#This Row],[Column7]]+Table_1[[#This Row],[Column6]]+Table_1[[#This Row],[Column5]]+Table_1[[#This Row],[Column4]]</f>
        <v>6</v>
      </c>
      <c r="I1006" s="38">
        <v>78000</v>
      </c>
      <c r="J1006" s="34">
        <f>'PACC GENERAL 2026'!$I1006*'PACC GENERAL 2026'!$H1006</f>
        <v>468000</v>
      </c>
      <c r="K1006" s="34"/>
      <c r="L1006" s="31"/>
      <c r="M1006" s="31"/>
      <c r="N1006" s="31"/>
      <c r="O1006" s="276" t="s">
        <v>1191</v>
      </c>
      <c r="P1006" s="320"/>
    </row>
    <row r="1007" spans="1:16" ht="15.75" customHeight="1">
      <c r="A1007" s="16" t="s">
        <v>31</v>
      </c>
      <c r="B1007" s="16" t="s">
        <v>611</v>
      </c>
      <c r="C1007" s="276" t="s">
        <v>199</v>
      </c>
      <c r="D1007" s="149">
        <v>20</v>
      </c>
      <c r="E1007" s="234"/>
      <c r="F1007" s="232"/>
      <c r="G1007" s="232"/>
      <c r="H1007" s="67">
        <f>+Table_1[[#This Row],[Column7]]+Table_1[[#This Row],[Column6]]+Table_1[[#This Row],[Column5]]+Table_1[[#This Row],[Column4]]</f>
        <v>20</v>
      </c>
      <c r="I1007" s="43">
        <v>3000</v>
      </c>
      <c r="J1007" s="34">
        <f>'PACC GENERAL 2026'!$I1007*'PACC GENERAL 2026'!$H1007</f>
        <v>60000</v>
      </c>
      <c r="K1007" s="17"/>
      <c r="L1007" s="16"/>
      <c r="M1007" s="16"/>
      <c r="N1007" s="16"/>
      <c r="O1007" s="276" t="s">
        <v>1191</v>
      </c>
      <c r="P1007" s="324"/>
    </row>
    <row r="1008" spans="1:16" ht="15.75" customHeight="1">
      <c r="A1008" s="16" t="s">
        <v>31</v>
      </c>
      <c r="B1008" s="16" t="s">
        <v>601</v>
      </c>
      <c r="C1008" s="276" t="s">
        <v>199</v>
      </c>
      <c r="D1008" s="149">
        <v>10</v>
      </c>
      <c r="E1008" s="234"/>
      <c r="F1008" s="232"/>
      <c r="G1008" s="232"/>
      <c r="H1008" s="67">
        <f>+Table_1[[#This Row],[Column7]]+Table_1[[#This Row],[Column6]]+Table_1[[#This Row],[Column5]]+Table_1[[#This Row],[Column4]]</f>
        <v>10</v>
      </c>
      <c r="I1008" s="43">
        <v>1000</v>
      </c>
      <c r="J1008" s="34">
        <f>'PACC GENERAL 2026'!$I1008*'PACC GENERAL 2026'!$H1008</f>
        <v>10000</v>
      </c>
      <c r="K1008" s="17"/>
      <c r="L1008" s="16"/>
      <c r="M1008" s="16"/>
      <c r="N1008" s="16"/>
      <c r="O1008" s="276" t="s">
        <v>1191</v>
      </c>
      <c r="P1008" s="324"/>
    </row>
    <row r="1009" spans="1:16" s="97" customFormat="1" ht="15.5">
      <c r="A1009" s="31" t="s">
        <v>31</v>
      </c>
      <c r="B1009" s="31" t="s">
        <v>504</v>
      </c>
      <c r="C1009" s="32" t="s">
        <v>199</v>
      </c>
      <c r="D1009" s="133"/>
      <c r="E1009" s="283"/>
      <c r="F1009" s="133"/>
      <c r="G1009" s="133"/>
      <c r="H1009" s="67">
        <f>+Table_1[[#This Row],[Column7]]+Table_1[[#This Row],[Column6]]+Table_1[[#This Row],[Column5]]+Table_1[[#This Row],[Column4]]</f>
        <v>0</v>
      </c>
      <c r="I1009" s="38">
        <v>650</v>
      </c>
      <c r="J1009" s="34">
        <f>'PACC GENERAL 2026'!$I1009*'PACC GENERAL 2026'!$H1009</f>
        <v>0</v>
      </c>
      <c r="K1009" s="34"/>
      <c r="L1009" s="31"/>
      <c r="M1009" s="31"/>
      <c r="N1009" s="31"/>
      <c r="O1009" s="32"/>
    </row>
    <row r="1010" spans="1:16" ht="15.75" customHeight="1">
      <c r="A1010" s="16" t="s">
        <v>31</v>
      </c>
      <c r="B1010" s="16" t="s">
        <v>242</v>
      </c>
      <c r="C1010" s="276" t="s">
        <v>94</v>
      </c>
      <c r="D1010" s="149">
        <v>4</v>
      </c>
      <c r="E1010" s="234"/>
      <c r="F1010" s="232"/>
      <c r="G1010" s="232"/>
      <c r="H1010" s="67">
        <f>+Table_1[[#This Row],[Column7]]+Table_1[[#This Row],[Column6]]+Table_1[[#This Row],[Column5]]+Table_1[[#This Row],[Column4]]</f>
        <v>4</v>
      </c>
      <c r="I1010" s="38">
        <v>6000</v>
      </c>
      <c r="J1010" s="34">
        <f>'PACC GENERAL 2026'!$I1010*'PACC GENERAL 2026'!$H1010</f>
        <v>24000</v>
      </c>
      <c r="K1010" s="17"/>
      <c r="L1010" s="16"/>
      <c r="M1010" s="16"/>
      <c r="N1010" s="16"/>
      <c r="O1010" s="276" t="s">
        <v>1191</v>
      </c>
      <c r="P1010" s="324"/>
    </row>
    <row r="1011" spans="1:16" s="97" customFormat="1" ht="15.5">
      <c r="A1011" s="31" t="s">
        <v>31</v>
      </c>
      <c r="B1011" s="31" t="s">
        <v>1216</v>
      </c>
      <c r="C1011" s="32" t="s">
        <v>138</v>
      </c>
      <c r="D1011" s="137">
        <v>4</v>
      </c>
      <c r="E1011" s="283"/>
      <c r="F1011" s="133"/>
      <c r="G1011" s="133"/>
      <c r="H1011" s="67">
        <f>+Table_1[[#This Row],[Column7]]+Table_1[[#This Row],[Column6]]+Table_1[[#This Row],[Column5]]+Table_1[[#This Row],[Column4]]</f>
        <v>4</v>
      </c>
      <c r="I1011" s="38">
        <v>1500</v>
      </c>
      <c r="J1011" s="34">
        <f>'PACC GENERAL 2026'!$I1011*'PACC GENERAL 2026'!$H1011</f>
        <v>6000</v>
      </c>
      <c r="K1011" s="34"/>
      <c r="L1011" s="31"/>
      <c r="M1011" s="31"/>
      <c r="N1011" s="31"/>
      <c r="O1011" s="276" t="s">
        <v>1191</v>
      </c>
      <c r="P1011" s="320"/>
    </row>
    <row r="1012" spans="1:16" ht="15.75" customHeight="1">
      <c r="A1012" s="16" t="s">
        <v>31</v>
      </c>
      <c r="B1012" s="16" t="s">
        <v>203</v>
      </c>
      <c r="C1012" s="276" t="s">
        <v>94</v>
      </c>
      <c r="D1012" s="149">
        <v>4</v>
      </c>
      <c r="E1012" s="234"/>
      <c r="F1012" s="232"/>
      <c r="G1012" s="232"/>
      <c r="H1012" s="67">
        <f>+Table_1[[#This Row],[Column7]]+Table_1[[#This Row],[Column6]]+Table_1[[#This Row],[Column5]]+Table_1[[#This Row],[Column4]]</f>
        <v>4</v>
      </c>
      <c r="I1012" s="43">
        <v>42000</v>
      </c>
      <c r="J1012" s="34">
        <f>'PACC GENERAL 2026'!$I1012*'PACC GENERAL 2026'!$H1012</f>
        <v>168000</v>
      </c>
      <c r="K1012" s="17"/>
      <c r="L1012" s="16"/>
      <c r="M1012" s="16"/>
      <c r="N1012" s="16"/>
      <c r="O1012" s="276" t="s">
        <v>1191</v>
      </c>
      <c r="P1012" s="324"/>
    </row>
    <row r="1013" spans="1:16" s="418" customFormat="1" ht="15.5">
      <c r="A1013" s="126" t="s">
        <v>31</v>
      </c>
      <c r="B1013" s="126" t="s">
        <v>223</v>
      </c>
      <c r="C1013" s="420" t="s">
        <v>199</v>
      </c>
      <c r="D1013" s="430">
        <v>80</v>
      </c>
      <c r="E1013" s="498"/>
      <c r="F1013" s="498"/>
      <c r="G1013" s="421"/>
      <c r="H1013" s="410">
        <f>+Table_1[[#This Row],[Column7]]+Table_1[[#This Row],[Column6]]+Table_1[[#This Row],[Column5]]+Table_1[[#This Row],[Column4]]</f>
        <v>80</v>
      </c>
      <c r="I1013" s="274">
        <f>708.45*1.18</f>
        <v>835.971</v>
      </c>
      <c r="J1013" s="422">
        <f>'PACC GENERAL 2026'!$I1013*'PACC GENERAL 2026'!$H1013</f>
        <v>66877.679999999993</v>
      </c>
      <c r="K1013" s="422"/>
      <c r="L1013" s="126"/>
      <c r="M1013" s="126"/>
      <c r="N1013" s="420"/>
      <c r="O1013" s="420" t="s">
        <v>1191</v>
      </c>
      <c r="P1013" s="417"/>
    </row>
    <row r="1014" spans="1:16" s="97" customFormat="1" ht="15.5">
      <c r="A1014" s="31" t="s">
        <v>31</v>
      </c>
      <c r="B1014" s="31" t="s">
        <v>1217</v>
      </c>
      <c r="C1014" s="32" t="s">
        <v>138</v>
      </c>
      <c r="D1014" s="137">
        <v>15</v>
      </c>
      <c r="E1014" s="283"/>
      <c r="F1014" s="133"/>
      <c r="G1014" s="133"/>
      <c r="H1014" s="67">
        <f>+Table_1[[#This Row],[Column7]]+Table_1[[#This Row],[Column6]]+Table_1[[#This Row],[Column5]]+Table_1[[#This Row],[Column4]]</f>
        <v>15</v>
      </c>
      <c r="I1014" s="38">
        <v>5200</v>
      </c>
      <c r="J1014" s="34">
        <f>'PACC GENERAL 2026'!$I1014*'PACC GENERAL 2026'!$H1014</f>
        <v>78000</v>
      </c>
      <c r="K1014" s="34"/>
      <c r="L1014" s="31"/>
      <c r="M1014" s="31"/>
      <c r="N1014" s="31"/>
      <c r="O1014" s="276" t="s">
        <v>1191</v>
      </c>
      <c r="P1014" s="320"/>
    </row>
    <row r="1015" spans="1:16" ht="15.5">
      <c r="A1015" s="9" t="s">
        <v>31</v>
      </c>
      <c r="B1015" s="10" t="s">
        <v>117</v>
      </c>
      <c r="C1015" s="10"/>
      <c r="D1015" s="148"/>
      <c r="E1015" s="148"/>
      <c r="F1015" s="148"/>
      <c r="G1015" s="148"/>
      <c r="H1015" s="111"/>
      <c r="I1015" s="45"/>
      <c r="J1015" s="12"/>
      <c r="K1015" s="13">
        <f>SUM(J994:J1014)</f>
        <v>3162948.1720000003</v>
      </c>
      <c r="L1015" s="10"/>
      <c r="M1015" s="10"/>
      <c r="N1015" s="10"/>
      <c r="O1015" s="73"/>
    </row>
    <row r="1016" spans="1:16" s="97" customFormat="1" ht="15.5">
      <c r="A1016" s="36" t="s">
        <v>373</v>
      </c>
      <c r="B1016" s="36" t="s">
        <v>374</v>
      </c>
      <c r="C1016" s="32" t="s">
        <v>138</v>
      </c>
      <c r="D1016" s="133"/>
      <c r="E1016" s="133"/>
      <c r="F1016" s="133"/>
      <c r="G1016" s="133"/>
      <c r="H1016" s="67">
        <f>+Table_1[[#This Row],[Column7]]+Table_1[[#This Row],[Column6]]+Table_1[[#This Row],[Column5]]+Table_1[[#This Row],[Column4]]</f>
        <v>0</v>
      </c>
      <c r="I1016" s="38">
        <v>500</v>
      </c>
      <c r="J1016" s="34">
        <f>'PACC GENERAL 2026'!$I1016*'PACC GENERAL 2026'!$H1016</f>
        <v>0</v>
      </c>
      <c r="K1016" s="35"/>
      <c r="L1016" s="16"/>
      <c r="M1016" s="16"/>
      <c r="N1016" s="16"/>
      <c r="O1016" s="32"/>
    </row>
    <row r="1017" spans="1:16" s="97" customFormat="1" ht="15.5">
      <c r="A1017" s="36" t="s">
        <v>373</v>
      </c>
      <c r="B1017" s="36" t="s">
        <v>375</v>
      </c>
      <c r="C1017" s="32" t="s">
        <v>138</v>
      </c>
      <c r="D1017" s="133"/>
      <c r="E1017" s="133"/>
      <c r="F1017" s="133"/>
      <c r="G1017" s="133"/>
      <c r="H1017" s="67">
        <f>+Table_1[[#This Row],[Column7]]+Table_1[[#This Row],[Column6]]+Table_1[[#This Row],[Column5]]+Table_1[[#This Row],[Column4]]</f>
        <v>0</v>
      </c>
      <c r="I1017" s="38">
        <v>300</v>
      </c>
      <c r="J1017" s="34">
        <f>'PACC GENERAL 2026'!$I1017*'PACC GENERAL 2026'!$H1017</f>
        <v>0</v>
      </c>
      <c r="K1017" s="35"/>
      <c r="L1017" s="16"/>
      <c r="M1017" s="16"/>
      <c r="N1017" s="16"/>
      <c r="O1017" s="32"/>
    </row>
    <row r="1018" spans="1:16" ht="15.5">
      <c r="A1018" s="54" t="s">
        <v>373</v>
      </c>
      <c r="B1018" s="10"/>
      <c r="C1018" s="10"/>
      <c r="D1018" s="148"/>
      <c r="E1018" s="148"/>
      <c r="F1018" s="148"/>
      <c r="G1018" s="148"/>
      <c r="H1018" s="111"/>
      <c r="I1018" s="45"/>
      <c r="J1018" s="12"/>
      <c r="K1018" s="13">
        <f>SUM(J1016:J1017)</f>
        <v>0</v>
      </c>
      <c r="L1018" s="10"/>
      <c r="M1018" s="10"/>
      <c r="N1018" s="10"/>
      <c r="O1018" s="73"/>
    </row>
    <row r="1019" spans="1:16" s="97" customFormat="1" ht="15.5">
      <c r="A1019" s="174" t="s">
        <v>32</v>
      </c>
      <c r="B1019" s="174" t="s">
        <v>246</v>
      </c>
      <c r="C1019" s="179" t="s">
        <v>138</v>
      </c>
      <c r="D1019" s="182"/>
      <c r="E1019" s="182"/>
      <c r="F1019" s="182"/>
      <c r="G1019" s="182"/>
      <c r="H1019" s="67">
        <f>+Table_1[[#This Row],[Column7]]+Table_1[[#This Row],[Column6]]+Table_1[[#This Row],[Column5]]+Table_1[[#This Row],[Column4]]</f>
        <v>0</v>
      </c>
      <c r="I1019" s="177">
        <v>10</v>
      </c>
      <c r="J1019" s="202">
        <f>'PACC GENERAL 2026'!$I1019*'PACC GENERAL 2026'!$H1019</f>
        <v>0</v>
      </c>
      <c r="K1019" s="186"/>
      <c r="L1019" s="174"/>
      <c r="M1019" s="174"/>
      <c r="N1019" s="174"/>
      <c r="O1019" s="179"/>
    </row>
    <row r="1020" spans="1:16" s="97" customFormat="1" ht="15.5">
      <c r="A1020" s="31" t="s">
        <v>32</v>
      </c>
      <c r="B1020" s="31" t="s">
        <v>247</v>
      </c>
      <c r="C1020" s="32" t="s">
        <v>138</v>
      </c>
      <c r="D1020" s="133"/>
      <c r="E1020" s="133"/>
      <c r="F1020" s="133"/>
      <c r="G1020" s="133"/>
      <c r="H1020" s="67">
        <f>+Table_1[[#This Row],[Column7]]+Table_1[[#This Row],[Column6]]+Table_1[[#This Row],[Column5]]+Table_1[[#This Row],[Column4]]</f>
        <v>0</v>
      </c>
      <c r="I1020" s="38">
        <v>10</v>
      </c>
      <c r="J1020" s="17">
        <f>'PACC GENERAL 2026'!$I1020*'PACC GENERAL 2026'!$H1020</f>
        <v>0</v>
      </c>
      <c r="K1020" s="35"/>
      <c r="L1020" s="31"/>
      <c r="M1020" s="31"/>
      <c r="N1020" s="31"/>
      <c r="O1020" s="32"/>
    </row>
    <row r="1021" spans="1:16" s="97" customFormat="1" ht="15.5">
      <c r="A1021" s="31" t="s">
        <v>32</v>
      </c>
      <c r="B1021" s="31" t="s">
        <v>248</v>
      </c>
      <c r="C1021" s="32" t="s">
        <v>138</v>
      </c>
      <c r="D1021" s="133"/>
      <c r="E1021" s="133"/>
      <c r="F1021" s="133"/>
      <c r="G1021" s="133"/>
      <c r="H1021" s="67">
        <f>+Table_1[[#This Row],[Column7]]+Table_1[[#This Row],[Column6]]+Table_1[[#This Row],[Column5]]+Table_1[[#This Row],[Column4]]</f>
        <v>0</v>
      </c>
      <c r="I1021" s="38">
        <v>10</v>
      </c>
      <c r="J1021" s="17">
        <f>'PACC GENERAL 2026'!$I1021*'PACC GENERAL 2026'!$H1021</f>
        <v>0</v>
      </c>
      <c r="K1021" s="35"/>
      <c r="L1021" s="31"/>
      <c r="M1021" s="31"/>
      <c r="N1021" s="31"/>
      <c r="O1021" s="32"/>
    </row>
    <row r="1022" spans="1:16" s="97" customFormat="1" ht="15.5">
      <c r="A1022" s="31" t="s">
        <v>32</v>
      </c>
      <c r="B1022" s="31" t="s">
        <v>249</v>
      </c>
      <c r="C1022" s="32" t="s">
        <v>138</v>
      </c>
      <c r="D1022" s="133"/>
      <c r="E1022" s="133"/>
      <c r="F1022" s="133"/>
      <c r="G1022" s="133"/>
      <c r="H1022" s="67">
        <f>+Table_1[[#This Row],[Column7]]+Table_1[[#This Row],[Column6]]+Table_1[[#This Row],[Column5]]+Table_1[[#This Row],[Column4]]</f>
        <v>0</v>
      </c>
      <c r="I1022" s="38">
        <v>600</v>
      </c>
      <c r="J1022" s="17">
        <f>'PACC GENERAL 2026'!$I1022*'PACC GENERAL 2026'!$H1022</f>
        <v>0</v>
      </c>
      <c r="K1022" s="35"/>
      <c r="L1022" s="31"/>
      <c r="M1022" s="31"/>
      <c r="N1022" s="32"/>
      <c r="O1022" s="32"/>
    </row>
    <row r="1023" spans="1:16" s="97" customFormat="1" ht="15.5">
      <c r="A1023" s="31" t="s">
        <v>32</v>
      </c>
      <c r="B1023" s="31" t="s">
        <v>251</v>
      </c>
      <c r="C1023" s="32" t="s">
        <v>138</v>
      </c>
      <c r="D1023" s="133"/>
      <c r="E1023" s="133"/>
      <c r="F1023" s="133"/>
      <c r="G1023" s="133"/>
      <c r="H1023" s="67">
        <f>+Table_1[[#This Row],[Column7]]+Table_1[[#This Row],[Column6]]+Table_1[[#This Row],[Column5]]+Table_1[[#This Row],[Column4]]</f>
        <v>0</v>
      </c>
      <c r="I1023" s="38">
        <v>245</v>
      </c>
      <c r="J1023" s="17">
        <f>'PACC GENERAL 2026'!$I1023*'PACC GENERAL 2026'!$H1023</f>
        <v>0</v>
      </c>
      <c r="K1023" s="35"/>
      <c r="L1023" s="31"/>
      <c r="M1023" s="31"/>
      <c r="N1023" s="32"/>
      <c r="O1023" s="32"/>
    </row>
    <row r="1024" spans="1:16" s="97" customFormat="1" ht="15.5">
      <c r="A1024" s="31" t="s">
        <v>32</v>
      </c>
      <c r="B1024" s="31" t="s">
        <v>745</v>
      </c>
      <c r="C1024" s="32" t="s">
        <v>138</v>
      </c>
      <c r="D1024" s="133"/>
      <c r="E1024" s="133"/>
      <c r="F1024" s="133"/>
      <c r="G1024" s="133"/>
      <c r="H1024" s="67">
        <f>+Table_1[[#This Row],[Column7]]+Table_1[[#This Row],[Column6]]+Table_1[[#This Row],[Column5]]+Table_1[[#This Row],[Column4]]</f>
        <v>0</v>
      </c>
      <c r="I1024" s="38">
        <v>35</v>
      </c>
      <c r="J1024" s="17">
        <f>'PACC GENERAL 2026'!$I1024*'PACC GENERAL 2026'!$H1024</f>
        <v>0</v>
      </c>
      <c r="K1024" s="35"/>
      <c r="L1024" s="31"/>
      <c r="M1024" s="31"/>
      <c r="N1024" s="32"/>
      <c r="O1024" s="32"/>
      <c r="P1024" s="320"/>
    </row>
    <row r="1025" spans="1:16" s="97" customFormat="1" ht="15.5">
      <c r="A1025" s="31" t="s">
        <v>32</v>
      </c>
      <c r="B1025" s="31" t="s">
        <v>401</v>
      </c>
      <c r="C1025" s="32" t="s">
        <v>138</v>
      </c>
      <c r="D1025" s="133"/>
      <c r="E1025" s="133"/>
      <c r="F1025" s="133"/>
      <c r="G1025" s="133"/>
      <c r="H1025" s="67">
        <f>+Table_1[[#This Row],[Column7]]+Table_1[[#This Row],[Column6]]+Table_1[[#This Row],[Column5]]+Table_1[[#This Row],[Column4]]</f>
        <v>0</v>
      </c>
      <c r="I1025" s="38">
        <v>55</v>
      </c>
      <c r="J1025" s="34">
        <f>'PACC GENERAL 2026'!$I1025*'PACC GENERAL 2026'!$H1025</f>
        <v>0</v>
      </c>
      <c r="K1025" s="35"/>
      <c r="L1025" s="31"/>
      <c r="M1025" s="31"/>
      <c r="N1025" s="32"/>
      <c r="O1025" s="32"/>
    </row>
    <row r="1026" spans="1:16" ht="15.75" customHeight="1">
      <c r="A1026" s="31" t="s">
        <v>32</v>
      </c>
      <c r="B1026" s="16" t="s">
        <v>391</v>
      </c>
      <c r="C1026" s="276" t="s">
        <v>94</v>
      </c>
      <c r="D1026" s="149">
        <v>200</v>
      </c>
      <c r="E1026" s="234"/>
      <c r="F1026" s="232"/>
      <c r="G1026" s="232"/>
      <c r="H1026" s="67">
        <f>+Table_1[[#This Row],[Column7]]+Table_1[[#This Row],[Column6]]+Table_1[[#This Row],[Column5]]+Table_1[[#This Row],[Column4]]</f>
        <v>200</v>
      </c>
      <c r="I1026" s="43">
        <v>800</v>
      </c>
      <c r="J1026" s="34">
        <f>'PACC GENERAL 2026'!$I1026*'PACC GENERAL 2026'!$H1026</f>
        <v>160000</v>
      </c>
      <c r="K1026" s="17"/>
      <c r="L1026" s="16"/>
      <c r="M1026" s="16"/>
      <c r="N1026" s="16"/>
      <c r="O1026" s="276" t="s">
        <v>1191</v>
      </c>
      <c r="P1026" s="324"/>
    </row>
    <row r="1027" spans="1:16" s="97" customFormat="1" ht="15.5">
      <c r="A1027" s="31" t="s">
        <v>32</v>
      </c>
      <c r="B1027" s="31" t="s">
        <v>252</v>
      </c>
      <c r="C1027" s="32" t="s">
        <v>138</v>
      </c>
      <c r="D1027" s="133"/>
      <c r="E1027" s="133"/>
      <c r="F1027" s="133"/>
      <c r="G1027" s="133"/>
      <c r="H1027" s="67">
        <f>+Table_1[[#This Row],[Column7]]+Table_1[[#This Row],[Column6]]+Table_1[[#This Row],[Column5]]+Table_1[[#This Row],[Column4]]</f>
        <v>0</v>
      </c>
      <c r="I1027" s="38">
        <v>100</v>
      </c>
      <c r="J1027" s="17">
        <f>'PACC GENERAL 2026'!$I1027*'PACC GENERAL 2026'!$H1027</f>
        <v>0</v>
      </c>
      <c r="K1027" s="35"/>
      <c r="L1027" s="31"/>
      <c r="M1027" s="31"/>
      <c r="N1027" s="31"/>
      <c r="O1027" s="32"/>
    </row>
    <row r="1028" spans="1:16" ht="31">
      <c r="A1028" s="9" t="s">
        <v>32</v>
      </c>
      <c r="B1028" s="10"/>
      <c r="C1028" s="10"/>
      <c r="D1028" s="148"/>
      <c r="E1028" s="148"/>
      <c r="F1028" s="148"/>
      <c r="G1028" s="148"/>
      <c r="H1028" s="111"/>
      <c r="I1028" s="45"/>
      <c r="J1028" s="12"/>
      <c r="K1028" s="13">
        <f>SUM(J1019:J1027)</f>
        <v>160000</v>
      </c>
      <c r="L1028" s="10"/>
      <c r="M1028" s="10"/>
      <c r="N1028" s="10"/>
      <c r="O1028" s="73"/>
    </row>
    <row r="1029" spans="1:16" s="97" customFormat="1" ht="15.5">
      <c r="A1029" s="31" t="s">
        <v>628</v>
      </c>
      <c r="B1029" s="31" t="s">
        <v>391</v>
      </c>
      <c r="C1029" s="32" t="s">
        <v>94</v>
      </c>
      <c r="D1029" s="133"/>
      <c r="E1029" s="293"/>
      <c r="F1029" s="133"/>
      <c r="G1029" s="133"/>
      <c r="H1029" s="67">
        <f>+Table_1[[#This Row],[Column7]]+Table_1[[#This Row],[Column6]]+Table_1[[#This Row],[Column5]]+Table_1[[#This Row],[Column4]]</f>
        <v>0</v>
      </c>
      <c r="I1029" s="38">
        <v>800</v>
      </c>
      <c r="J1029" s="34">
        <f>'PACC GENERAL 2026'!$I1029*'PACC GENERAL 2026'!$H1029</f>
        <v>0</v>
      </c>
      <c r="K1029" s="35"/>
      <c r="L1029" s="32"/>
      <c r="M1029" s="86"/>
      <c r="N1029" s="86"/>
      <c r="O1029" s="32"/>
      <c r="P1029" s="320"/>
    </row>
    <row r="1030" spans="1:16" ht="15.5">
      <c r="A1030" s="9" t="s">
        <v>628</v>
      </c>
      <c r="B1030" s="10"/>
      <c r="C1030" s="10"/>
      <c r="D1030" s="148"/>
      <c r="E1030" s="148"/>
      <c r="F1030" s="148"/>
      <c r="G1030" s="148"/>
      <c r="H1030" s="111"/>
      <c r="I1030" s="45"/>
      <c r="J1030" s="12"/>
      <c r="K1030" s="13">
        <f>+J1029</f>
        <v>0</v>
      </c>
      <c r="L1030" s="73"/>
      <c r="M1030" s="10"/>
      <c r="N1030" s="10"/>
      <c r="O1030" s="73"/>
      <c r="P1030" s="321"/>
    </row>
    <row r="1031" spans="1:16" s="97" customFormat="1" ht="31">
      <c r="A1031" s="86" t="s">
        <v>613</v>
      </c>
      <c r="B1031" s="86" t="s">
        <v>614</v>
      </c>
      <c r="C1031" s="86" t="s">
        <v>199</v>
      </c>
      <c r="D1031" s="150"/>
      <c r="E1031" s="150"/>
      <c r="F1031" s="137"/>
      <c r="G1031" s="150"/>
      <c r="H1031" s="67">
        <f>+Table_1[[#This Row],[Column7]]+Table_1[[#This Row],[Column6]]+Table_1[[#This Row],[Column5]]+Table_1[[#This Row],[Column4]]</f>
        <v>0</v>
      </c>
      <c r="I1031" s="77">
        <v>5500</v>
      </c>
      <c r="J1031" s="34">
        <f>'PACC GENERAL 2026'!$I1031*'PACC GENERAL 2026'!$H1031</f>
        <v>0</v>
      </c>
      <c r="K1031" s="103"/>
      <c r="L1031" s="86"/>
      <c r="M1031" s="86"/>
      <c r="N1031" s="86"/>
      <c r="O1031" s="63"/>
      <c r="P1031" s="320"/>
    </row>
    <row r="1032" spans="1:16" ht="31">
      <c r="A1032" s="9" t="s">
        <v>613</v>
      </c>
      <c r="B1032" s="10"/>
      <c r="C1032" s="10"/>
      <c r="D1032" s="148"/>
      <c r="E1032" s="148"/>
      <c r="F1032" s="148"/>
      <c r="G1032" s="148"/>
      <c r="H1032" s="111"/>
      <c r="I1032" s="45"/>
      <c r="J1032" s="12"/>
      <c r="K1032" s="13">
        <f>SUBTOTAL(109,J1031)</f>
        <v>0</v>
      </c>
      <c r="L1032" s="10"/>
      <c r="M1032" s="10"/>
      <c r="N1032" s="10"/>
      <c r="O1032" s="73"/>
      <c r="P1032" s="321"/>
    </row>
    <row r="1033" spans="1:16" s="97" customFormat="1" ht="15.5">
      <c r="A1033" s="31" t="s">
        <v>634</v>
      </c>
      <c r="B1033" s="31" t="s">
        <v>255</v>
      </c>
      <c r="C1033" s="32" t="s">
        <v>138</v>
      </c>
      <c r="D1033" s="133"/>
      <c r="E1033" s="133"/>
      <c r="F1033" s="133"/>
      <c r="G1033" s="133"/>
      <c r="H1033" s="67">
        <f>+Table_1[[#This Row],[Column7]]+Table_1[[#This Row],[Column6]]+Table_1[[#This Row],[Column5]]+Table_1[[#This Row],[Column4]]</f>
        <v>0</v>
      </c>
      <c r="I1033" s="38">
        <v>5000</v>
      </c>
      <c r="J1033" s="34">
        <f>'PACC GENERAL 2026'!$I1033*'PACC GENERAL 2026'!$H1033</f>
        <v>0</v>
      </c>
      <c r="K1033" s="35"/>
      <c r="L1033" s="32"/>
      <c r="M1033" s="86"/>
      <c r="N1033" s="86"/>
      <c r="O1033" s="32"/>
      <c r="P1033" s="320"/>
    </row>
    <row r="1034" spans="1:16" s="97" customFormat="1" ht="15.5">
      <c r="A1034" s="31" t="s">
        <v>634</v>
      </c>
      <c r="B1034" s="31" t="s">
        <v>250</v>
      </c>
      <c r="C1034" s="32" t="s">
        <v>138</v>
      </c>
      <c r="D1034" s="133"/>
      <c r="E1034" s="133"/>
      <c r="F1034" s="133"/>
      <c r="G1034" s="133"/>
      <c r="H1034" s="67">
        <f>+Table_1[[#This Row],[Column7]]+Table_1[[#This Row],[Column6]]+Table_1[[#This Row],[Column5]]+Table_1[[#This Row],[Column4]]</f>
        <v>0</v>
      </c>
      <c r="I1034" s="38">
        <v>15</v>
      </c>
      <c r="J1034" s="34">
        <f>'PACC GENERAL 2026'!$I1034*'PACC GENERAL 2026'!$H1034</f>
        <v>0</v>
      </c>
      <c r="K1034" s="35"/>
      <c r="L1034" s="32"/>
      <c r="M1034" s="86"/>
      <c r="N1034" s="86"/>
      <c r="O1034" s="32"/>
      <c r="P1034" s="320"/>
    </row>
    <row r="1035" spans="1:16" s="97" customFormat="1" ht="15.5">
      <c r="A1035" s="31" t="s">
        <v>634</v>
      </c>
      <c r="B1035" s="31" t="s">
        <v>256</v>
      </c>
      <c r="C1035" s="32" t="s">
        <v>138</v>
      </c>
      <c r="D1035" s="133"/>
      <c r="E1035" s="133"/>
      <c r="F1035" s="133"/>
      <c r="G1035" s="133"/>
      <c r="H1035" s="67">
        <f>+Table_1[[#This Row],[Column7]]+Table_1[[#This Row],[Column6]]+Table_1[[#This Row],[Column5]]+Table_1[[#This Row],[Column4]]</f>
        <v>0</v>
      </c>
      <c r="I1035" s="38">
        <v>65</v>
      </c>
      <c r="J1035" s="34">
        <f>'PACC GENERAL 2026'!$I1035*'PACC GENERAL 2026'!$H1035</f>
        <v>0</v>
      </c>
      <c r="K1035" s="35"/>
      <c r="L1035" s="32"/>
      <c r="M1035" s="86"/>
      <c r="N1035" s="86"/>
      <c r="O1035" s="32"/>
      <c r="P1035" s="320"/>
    </row>
    <row r="1036" spans="1:16" s="97" customFormat="1" ht="15.5">
      <c r="A1036" s="31" t="s">
        <v>634</v>
      </c>
      <c r="B1036" s="31" t="s">
        <v>257</v>
      </c>
      <c r="C1036" s="32" t="s">
        <v>138</v>
      </c>
      <c r="D1036" s="133"/>
      <c r="E1036" s="133"/>
      <c r="F1036" s="133"/>
      <c r="G1036" s="133"/>
      <c r="H1036" s="67">
        <f>+Table_1[[#This Row],[Column7]]+Table_1[[#This Row],[Column6]]+Table_1[[#This Row],[Column5]]+Table_1[[#This Row],[Column4]]</f>
        <v>0</v>
      </c>
      <c r="I1036" s="38">
        <v>1960</v>
      </c>
      <c r="J1036" s="34">
        <f>'PACC GENERAL 2026'!$I1036*'PACC GENERAL 2026'!$H1036</f>
        <v>0</v>
      </c>
      <c r="K1036" s="35"/>
      <c r="L1036" s="32"/>
      <c r="M1036" s="86"/>
      <c r="N1036" s="86"/>
      <c r="O1036" s="32"/>
      <c r="P1036" s="320"/>
    </row>
    <row r="1037" spans="1:16" ht="15.5">
      <c r="A1037" s="9" t="s">
        <v>634</v>
      </c>
      <c r="B1037" s="10"/>
      <c r="C1037" s="10"/>
      <c r="D1037" s="148"/>
      <c r="E1037" s="148"/>
      <c r="F1037" s="148"/>
      <c r="G1037" s="148"/>
      <c r="H1037" s="111"/>
      <c r="I1037" s="45"/>
      <c r="J1037" s="12"/>
      <c r="K1037" s="13">
        <f>SUM(J1033:J1036)</f>
        <v>0</v>
      </c>
      <c r="L1037" s="10"/>
      <c r="M1037" s="10"/>
      <c r="N1037" s="10"/>
      <c r="O1037" s="73"/>
      <c r="P1037" s="321"/>
    </row>
    <row r="1038" spans="1:16" s="97" customFormat="1" ht="15.5">
      <c r="A1038" s="86" t="s">
        <v>630</v>
      </c>
      <c r="B1038" s="174" t="s">
        <v>250</v>
      </c>
      <c r="C1038" s="179" t="s">
        <v>103</v>
      </c>
      <c r="D1038" s="182"/>
      <c r="E1038" s="182"/>
      <c r="F1038" s="182"/>
      <c r="G1038" s="182"/>
      <c r="H1038" s="67">
        <f>+Table_1[[#This Row],[Column7]]+Table_1[[#This Row],[Column6]]+Table_1[[#This Row],[Column5]]+Table_1[[#This Row],[Column4]]</f>
        <v>0</v>
      </c>
      <c r="I1038" s="177">
        <v>15</v>
      </c>
      <c r="J1038" s="201">
        <f>'PACC GENERAL 2026'!$I1038*'PACC GENERAL 2026'!$H1038</f>
        <v>0</v>
      </c>
      <c r="K1038" s="103"/>
      <c r="L1038" s="63"/>
      <c r="M1038" s="86"/>
      <c r="N1038" s="86"/>
      <c r="O1038" s="179"/>
      <c r="P1038" s="320"/>
    </row>
    <row r="1039" spans="1:16" ht="15.5">
      <c r="A1039" s="9" t="s">
        <v>630</v>
      </c>
      <c r="B1039" s="10"/>
      <c r="C1039" s="10"/>
      <c r="D1039" s="148"/>
      <c r="E1039" s="148"/>
      <c r="F1039" s="148"/>
      <c r="G1039" s="148"/>
      <c r="H1039" s="111"/>
      <c r="I1039" s="45"/>
      <c r="J1039" s="12"/>
      <c r="K1039" s="13">
        <f>+J1038</f>
        <v>0</v>
      </c>
      <c r="L1039" s="73"/>
      <c r="M1039" s="10"/>
      <c r="N1039" s="10"/>
      <c r="O1039" s="73"/>
      <c r="P1039" s="321"/>
    </row>
    <row r="1040" spans="1:16" s="97" customFormat="1" ht="15.5">
      <c r="A1040" s="31" t="s">
        <v>33</v>
      </c>
      <c r="B1040" s="31" t="s">
        <v>420</v>
      </c>
      <c r="C1040" s="32" t="s">
        <v>138</v>
      </c>
      <c r="D1040" s="133"/>
      <c r="E1040" s="133"/>
      <c r="F1040" s="133"/>
      <c r="G1040" s="133"/>
      <c r="H1040" s="67">
        <f>+Table_1[[#This Row],[Column7]]+Table_1[[#This Row],[Column6]]+Table_1[[#This Row],[Column5]]+Table_1[[#This Row],[Column4]]</f>
        <v>0</v>
      </c>
      <c r="I1040" s="38">
        <v>20290</v>
      </c>
      <c r="J1040" s="34">
        <f>'PACC GENERAL 2026'!$I1040*'PACC GENERAL 2026'!$H1040</f>
        <v>0</v>
      </c>
      <c r="K1040" s="35"/>
      <c r="L1040" s="31"/>
      <c r="M1040" s="31"/>
      <c r="N1040" s="31"/>
      <c r="O1040" s="32"/>
    </row>
    <row r="1041" spans="1:16" s="97" customFormat="1" ht="15.5">
      <c r="A1041" s="31" t="s">
        <v>33</v>
      </c>
      <c r="B1041" s="174" t="s">
        <v>421</v>
      </c>
      <c r="C1041" s="32" t="s">
        <v>138</v>
      </c>
      <c r="D1041" s="133"/>
      <c r="E1041" s="133"/>
      <c r="F1041" s="133"/>
      <c r="G1041" s="133"/>
      <c r="H1041" s="67">
        <f>+Table_1[[#This Row],[Column7]]+Table_1[[#This Row],[Column6]]+Table_1[[#This Row],[Column5]]+Table_1[[#This Row],[Column4]]</f>
        <v>0</v>
      </c>
      <c r="I1041" s="38">
        <v>120</v>
      </c>
      <c r="J1041" s="34">
        <f>'PACC GENERAL 2026'!$I1041*'PACC GENERAL 2026'!$H1041</f>
        <v>0</v>
      </c>
      <c r="K1041" s="35"/>
      <c r="L1041" s="31"/>
      <c r="M1041" s="31"/>
      <c r="N1041" s="31"/>
      <c r="O1041" s="32"/>
    </row>
    <row r="1042" spans="1:16" s="97" customFormat="1" ht="15.5">
      <c r="A1042" s="31" t="s">
        <v>33</v>
      </c>
      <c r="B1042" s="174" t="s">
        <v>422</v>
      </c>
      <c r="C1042" s="32" t="s">
        <v>138</v>
      </c>
      <c r="D1042" s="133"/>
      <c r="E1042" s="133"/>
      <c r="F1042" s="133"/>
      <c r="G1042" s="133"/>
      <c r="H1042" s="67">
        <f>+Table_1[[#This Row],[Column7]]+Table_1[[#This Row],[Column6]]+Table_1[[#This Row],[Column5]]+Table_1[[#This Row],[Column4]]</f>
        <v>0</v>
      </c>
      <c r="I1042" s="38">
        <v>130</v>
      </c>
      <c r="J1042" s="34">
        <f>'PACC GENERAL 2026'!$I1042*'PACC GENERAL 2026'!$H1042</f>
        <v>0</v>
      </c>
      <c r="K1042" s="35"/>
      <c r="L1042" s="31"/>
      <c r="M1042" s="31"/>
      <c r="N1042" s="31"/>
      <c r="O1042" s="32"/>
    </row>
    <row r="1043" spans="1:16" s="97" customFormat="1" ht="15.5">
      <c r="A1043" s="31" t="s">
        <v>33</v>
      </c>
      <c r="B1043" s="174" t="s">
        <v>423</v>
      </c>
      <c r="C1043" s="32" t="s">
        <v>138</v>
      </c>
      <c r="D1043" s="133"/>
      <c r="E1043" s="133"/>
      <c r="F1043" s="133"/>
      <c r="G1043" s="133"/>
      <c r="H1043" s="67">
        <f>+Table_1[[#This Row],[Column7]]+Table_1[[#This Row],[Column6]]+Table_1[[#This Row],[Column5]]+Table_1[[#This Row],[Column4]]</f>
        <v>0</v>
      </c>
      <c r="I1043" s="38">
        <v>2200</v>
      </c>
      <c r="J1043" s="34">
        <f>'PACC GENERAL 2026'!$I1043*'PACC GENERAL 2026'!$H1043</f>
        <v>0</v>
      </c>
      <c r="K1043" s="35"/>
      <c r="L1043" s="31"/>
      <c r="M1043" s="31"/>
      <c r="N1043" s="32"/>
      <c r="O1043" s="32"/>
    </row>
    <row r="1044" spans="1:16" s="97" customFormat="1" ht="15.5">
      <c r="A1044" s="31" t="s">
        <v>33</v>
      </c>
      <c r="B1044" s="174" t="s">
        <v>424</v>
      </c>
      <c r="C1044" s="32" t="s">
        <v>94</v>
      </c>
      <c r="D1044" s="133"/>
      <c r="E1044" s="133"/>
      <c r="F1044" s="133"/>
      <c r="G1044" s="133"/>
      <c r="H1044" s="67">
        <f>+Table_1[[#This Row],[Column7]]+Table_1[[#This Row],[Column6]]+Table_1[[#This Row],[Column5]]+Table_1[[#This Row],[Column4]]</f>
        <v>0</v>
      </c>
      <c r="I1044" s="38">
        <v>995</v>
      </c>
      <c r="J1044" s="34">
        <f>'PACC GENERAL 2026'!$I1044*'PACC GENERAL 2026'!$H1044</f>
        <v>0</v>
      </c>
      <c r="K1044" s="35"/>
      <c r="L1044" s="31"/>
      <c r="M1044" s="31"/>
      <c r="N1044" s="32"/>
      <c r="O1044" s="32"/>
    </row>
    <row r="1045" spans="1:16" ht="15.5">
      <c r="A1045" s="9" t="s">
        <v>33</v>
      </c>
      <c r="B1045" s="10"/>
      <c r="C1045" s="10"/>
      <c r="D1045" s="148"/>
      <c r="E1045" s="148"/>
      <c r="F1045" s="148"/>
      <c r="G1045" s="148"/>
      <c r="H1045" s="111"/>
      <c r="I1045" s="45"/>
      <c r="J1045" s="12"/>
      <c r="K1045" s="13">
        <f>SUM(J1040:J1044)</f>
        <v>0</v>
      </c>
      <c r="L1045" s="10"/>
      <c r="M1045" s="10"/>
      <c r="N1045" s="10"/>
      <c r="O1045" s="73"/>
    </row>
    <row r="1046" spans="1:16" s="97" customFormat="1" ht="15.5">
      <c r="A1046" s="31" t="s">
        <v>633</v>
      </c>
      <c r="B1046" s="31" t="s">
        <v>253</v>
      </c>
      <c r="C1046" s="32" t="s">
        <v>138</v>
      </c>
      <c r="D1046" s="133"/>
      <c r="E1046" s="133"/>
      <c r="F1046" s="133"/>
      <c r="G1046" s="133"/>
      <c r="H1046" s="67">
        <f>+Table_1[[#This Row],[Column7]]+Table_1[[#This Row],[Column6]]+Table_1[[#This Row],[Column5]]+Table_1[[#This Row],[Column4]]</f>
        <v>0</v>
      </c>
      <c r="I1046" s="38">
        <v>150</v>
      </c>
      <c r="J1046" s="34">
        <f>'PACC GENERAL 2026'!$I1046*'PACC GENERAL 2026'!$H1046</f>
        <v>0</v>
      </c>
      <c r="K1046" s="35"/>
      <c r="L1046" s="32"/>
      <c r="M1046" s="86"/>
      <c r="N1046" s="86"/>
      <c r="O1046" s="32"/>
      <c r="P1046" s="320"/>
    </row>
    <row r="1047" spans="1:16" s="97" customFormat="1" ht="15.5">
      <c r="A1047" s="31" t="s">
        <v>633</v>
      </c>
      <c r="B1047" s="31" t="s">
        <v>254</v>
      </c>
      <c r="C1047" s="32" t="s">
        <v>138</v>
      </c>
      <c r="D1047" s="133"/>
      <c r="E1047" s="133"/>
      <c r="F1047" s="133"/>
      <c r="G1047" s="133"/>
      <c r="H1047" s="67">
        <f>+Table_1[[#This Row],[Column7]]+Table_1[[#This Row],[Column6]]+Table_1[[#This Row],[Column5]]+Table_1[[#This Row],[Column4]]</f>
        <v>0</v>
      </c>
      <c r="I1047" s="38">
        <v>120</v>
      </c>
      <c r="J1047" s="34">
        <f>'PACC GENERAL 2026'!$I1047*'PACC GENERAL 2026'!$H1047</f>
        <v>0</v>
      </c>
      <c r="K1047" s="35"/>
      <c r="L1047" s="32"/>
      <c r="M1047" s="86"/>
      <c r="N1047" s="86"/>
      <c r="O1047" s="32"/>
      <c r="P1047" s="320"/>
    </row>
    <row r="1048" spans="1:16" ht="15.5">
      <c r="A1048" s="9" t="s">
        <v>633</v>
      </c>
      <c r="B1048" s="10"/>
      <c r="C1048" s="10"/>
      <c r="D1048" s="152"/>
      <c r="E1048" s="152"/>
      <c r="F1048" s="152"/>
      <c r="G1048" s="152"/>
      <c r="H1048" s="111"/>
      <c r="I1048" s="44"/>
      <c r="J1048" s="12"/>
      <c r="K1048" s="13">
        <f>SUM(J1046:J1047)</f>
        <v>0</v>
      </c>
      <c r="L1048" s="73"/>
      <c r="M1048" s="10"/>
      <c r="N1048" s="10"/>
      <c r="O1048" s="73"/>
      <c r="P1048" s="321"/>
    </row>
    <row r="1049" spans="1:16" s="97" customFormat="1" ht="15.5">
      <c r="A1049" s="31" t="s">
        <v>661</v>
      </c>
      <c r="B1049" s="36" t="s">
        <v>205</v>
      </c>
      <c r="C1049" s="32" t="s">
        <v>138</v>
      </c>
      <c r="D1049" s="133"/>
      <c r="E1049" s="133"/>
      <c r="F1049" s="133"/>
      <c r="G1049" s="133"/>
      <c r="H1049" s="67">
        <f>+Table_1[[#This Row],[Column7]]+Table_1[[#This Row],[Column6]]+Table_1[[#This Row],[Column5]]+Table_1[[#This Row],[Column4]]</f>
        <v>0</v>
      </c>
      <c r="I1049" s="38">
        <v>2500000</v>
      </c>
      <c r="J1049" s="34">
        <f>'PACC GENERAL 2026'!$I1049*'PACC GENERAL 2026'!$H1049</f>
        <v>0</v>
      </c>
      <c r="K1049" s="35"/>
      <c r="L1049" s="32"/>
      <c r="M1049" s="86"/>
      <c r="N1049" s="86"/>
      <c r="O1049" s="32"/>
      <c r="P1049" s="320"/>
    </row>
    <row r="1050" spans="1:16" s="97" customFormat="1" ht="15.5">
      <c r="A1050" s="31" t="s">
        <v>661</v>
      </c>
      <c r="B1050" s="36" t="s">
        <v>593</v>
      </c>
      <c r="C1050" s="32" t="s">
        <v>138</v>
      </c>
      <c r="D1050" s="133"/>
      <c r="E1050" s="133"/>
      <c r="F1050" s="133"/>
      <c r="G1050" s="133"/>
      <c r="H1050" s="67">
        <f>+Table_1[[#This Row],[Column7]]+Table_1[[#This Row],[Column6]]+Table_1[[#This Row],[Column5]]+Table_1[[#This Row],[Column4]]</f>
        <v>0</v>
      </c>
      <c r="I1050" s="38">
        <v>750000</v>
      </c>
      <c r="J1050" s="34">
        <f>'PACC GENERAL 2026'!$I1050*'PACC GENERAL 2026'!$H1050</f>
        <v>0</v>
      </c>
      <c r="K1050" s="35"/>
      <c r="L1050" s="32"/>
      <c r="M1050" s="86"/>
      <c r="N1050" s="86"/>
      <c r="O1050" s="32"/>
      <c r="P1050" s="320"/>
    </row>
    <row r="1051" spans="1:16" s="97" customFormat="1" ht="15.5">
      <c r="A1051" s="31" t="s">
        <v>661</v>
      </c>
      <c r="B1051" s="174" t="s">
        <v>662</v>
      </c>
      <c r="C1051" s="32" t="s">
        <v>138</v>
      </c>
      <c r="D1051" s="133"/>
      <c r="E1051" s="133">
        <v>7</v>
      </c>
      <c r="F1051" s="133"/>
      <c r="G1051" s="133"/>
      <c r="H1051" s="67">
        <f>+Table_1[[#This Row],[Column7]]+Table_1[[#This Row],[Column6]]+Table_1[[#This Row],[Column5]]+Table_1[[#This Row],[Column4]]</f>
        <v>7</v>
      </c>
      <c r="I1051" s="38">
        <v>1500</v>
      </c>
      <c r="J1051" s="34">
        <f>'PACC GENERAL 2026'!$I1051*'PACC GENERAL 2026'!$H1051</f>
        <v>10500</v>
      </c>
      <c r="K1051" s="35"/>
      <c r="L1051" s="32"/>
      <c r="M1051" s="86"/>
      <c r="N1051" s="86"/>
      <c r="O1051" s="32" t="s">
        <v>414</v>
      </c>
      <c r="P1051" s="320"/>
    </row>
    <row r="1052" spans="1:16" ht="15.5">
      <c r="A1052" s="9" t="s">
        <v>663</v>
      </c>
      <c r="B1052" s="10"/>
      <c r="C1052" s="10"/>
      <c r="D1052" s="152"/>
      <c r="E1052" s="152"/>
      <c r="F1052" s="152"/>
      <c r="G1052" s="152"/>
      <c r="H1052" s="111"/>
      <c r="I1052" s="44"/>
      <c r="J1052" s="12"/>
      <c r="K1052" s="13">
        <f>SUM(J1049:J1051)</f>
        <v>10500</v>
      </c>
      <c r="L1052" s="73"/>
      <c r="M1052" s="10"/>
      <c r="N1052" s="10"/>
      <c r="O1052" s="73"/>
      <c r="P1052" s="321"/>
    </row>
    <row r="1053" spans="1:16" s="97" customFormat="1" ht="15.5">
      <c r="A1053" s="31" t="s">
        <v>34</v>
      </c>
      <c r="B1053" s="31" t="s">
        <v>259</v>
      </c>
      <c r="C1053" s="32" t="s">
        <v>138</v>
      </c>
      <c r="D1053" s="133"/>
      <c r="E1053" s="133"/>
      <c r="F1053" s="133"/>
      <c r="G1053" s="133"/>
      <c r="H1053" s="67">
        <f>+Table_1[[#This Row],[Column7]]+Table_1[[#This Row],[Column6]]+Table_1[[#This Row],[Column5]]+Table_1[[#This Row],[Column4]]</f>
        <v>0</v>
      </c>
      <c r="I1053" s="38">
        <v>70</v>
      </c>
      <c r="J1053" s="34">
        <f>'PACC GENERAL 2026'!$I1053*'PACC GENERAL 2026'!$H1053</f>
        <v>0</v>
      </c>
      <c r="K1053" s="35"/>
      <c r="L1053" s="31"/>
      <c r="M1053" s="31"/>
      <c r="N1053" s="31"/>
      <c r="O1053" s="32"/>
    </row>
    <row r="1054" spans="1:16" s="97" customFormat="1" ht="15.5">
      <c r="A1054" s="31" t="s">
        <v>34</v>
      </c>
      <c r="B1054" s="31" t="s">
        <v>260</v>
      </c>
      <c r="C1054" s="32" t="s">
        <v>138</v>
      </c>
      <c r="D1054" s="133"/>
      <c r="E1054" s="133"/>
      <c r="F1054" s="133"/>
      <c r="G1054" s="133"/>
      <c r="H1054" s="67">
        <f>+Table_1[[#This Row],[Column7]]+Table_1[[#This Row],[Column6]]+Table_1[[#This Row],[Column5]]+Table_1[[#This Row],[Column4]]</f>
        <v>0</v>
      </c>
      <c r="I1054" s="38">
        <v>25</v>
      </c>
      <c r="J1054" s="17">
        <f>'PACC GENERAL 2026'!$I1054*'PACC GENERAL 2026'!$H1054</f>
        <v>0</v>
      </c>
      <c r="K1054" s="35"/>
      <c r="L1054" s="31"/>
      <c r="M1054" s="31"/>
      <c r="N1054" s="31"/>
      <c r="O1054" s="32"/>
    </row>
    <row r="1055" spans="1:16" s="97" customFormat="1" ht="15.5">
      <c r="A1055" s="31" t="s">
        <v>34</v>
      </c>
      <c r="B1055" s="31" t="s">
        <v>261</v>
      </c>
      <c r="C1055" s="32" t="s">
        <v>138</v>
      </c>
      <c r="D1055" s="133"/>
      <c r="E1055" s="133"/>
      <c r="F1055" s="133"/>
      <c r="G1055" s="133"/>
      <c r="H1055" s="67">
        <f>+Table_1[[#This Row],[Column7]]+Table_1[[#This Row],[Column6]]+Table_1[[#This Row],[Column5]]+Table_1[[#This Row],[Column4]]</f>
        <v>0</v>
      </c>
      <c r="I1055" s="38">
        <v>397.5</v>
      </c>
      <c r="J1055" s="17">
        <f>'PACC GENERAL 2026'!$I1055*'PACC GENERAL 2026'!$H1055</f>
        <v>0</v>
      </c>
      <c r="K1055" s="35"/>
      <c r="L1055" s="31"/>
      <c r="M1055" s="31"/>
      <c r="N1055" s="31"/>
      <c r="O1055" s="32"/>
    </row>
    <row r="1056" spans="1:16" ht="15.5">
      <c r="A1056" s="9" t="s">
        <v>34</v>
      </c>
      <c r="B1056" s="10"/>
      <c r="C1056" s="10"/>
      <c r="D1056" s="152"/>
      <c r="E1056" s="152"/>
      <c r="F1056" s="152"/>
      <c r="G1056" s="152"/>
      <c r="H1056" s="111"/>
      <c r="I1056" s="44"/>
      <c r="J1056" s="12"/>
      <c r="K1056" s="13">
        <f>SUM(J1053:J1055)</f>
        <v>0</v>
      </c>
      <c r="L1056" s="10"/>
      <c r="M1056" s="10"/>
      <c r="N1056" s="10"/>
      <c r="O1056" s="73"/>
    </row>
    <row r="1057" spans="1:16" s="97" customFormat="1" ht="15.5">
      <c r="A1057" s="31" t="s">
        <v>1382</v>
      </c>
      <c r="B1057" s="36" t="s">
        <v>952</v>
      </c>
      <c r="C1057" s="32" t="s">
        <v>94</v>
      </c>
      <c r="D1057" s="137">
        <v>7</v>
      </c>
      <c r="E1057" s="137"/>
      <c r="F1057" s="133"/>
      <c r="G1057" s="137"/>
      <c r="H1057" s="67">
        <f>D1057+E1057+F1057+G1057</f>
        <v>7</v>
      </c>
      <c r="I1057" s="38">
        <v>10000</v>
      </c>
      <c r="J1057" s="34">
        <f>H1057*I1057</f>
        <v>70000</v>
      </c>
      <c r="K1057" s="31"/>
      <c r="L1057" s="31"/>
      <c r="M1057" s="31"/>
      <c r="N1057" s="31"/>
      <c r="O1057" s="63" t="s">
        <v>941</v>
      </c>
      <c r="P1057" s="320"/>
    </row>
    <row r="1058" spans="1:16" ht="15.5">
      <c r="A1058" s="9" t="s">
        <v>1382</v>
      </c>
      <c r="B1058" s="10"/>
      <c r="C1058" s="10"/>
      <c r="D1058" s="152"/>
      <c r="E1058" s="152"/>
      <c r="F1058" s="152"/>
      <c r="G1058" s="152"/>
      <c r="H1058" s="111"/>
      <c r="I1058" s="44"/>
      <c r="J1058" s="12"/>
      <c r="K1058" s="13">
        <f>SUM(J1057)</f>
        <v>70000</v>
      </c>
      <c r="L1058" s="10"/>
      <c r="M1058" s="10"/>
      <c r="N1058" s="10"/>
      <c r="O1058" s="73"/>
    </row>
    <row r="1059" spans="1:16" s="97" customFormat="1" ht="15.5">
      <c r="A1059" s="31" t="s">
        <v>35</v>
      </c>
      <c r="B1059" s="31" t="s">
        <v>649</v>
      </c>
      <c r="C1059" s="32" t="s">
        <v>94</v>
      </c>
      <c r="D1059" s="137"/>
      <c r="E1059" s="137"/>
      <c r="F1059" s="133"/>
      <c r="G1059" s="137"/>
      <c r="H1059" s="67">
        <f>+Table_1[[#This Row],[Column7]]+Table_1[[#This Row],[Column6]]+Table_1[[#This Row],[Column5]]+Table_1[[#This Row],[Column4]]</f>
        <v>0</v>
      </c>
      <c r="I1059" s="38">
        <v>87000</v>
      </c>
      <c r="J1059" s="34">
        <f>'PACC GENERAL 2026'!$I1059*'PACC GENERAL 2026'!$H1059</f>
        <v>0</v>
      </c>
      <c r="K1059" s="35"/>
      <c r="L1059" s="31"/>
      <c r="M1059" s="31"/>
      <c r="N1059" s="32"/>
      <c r="O1059" s="63"/>
      <c r="P1059" s="320"/>
    </row>
    <row r="1060" spans="1:16" s="97" customFormat="1" ht="15.5">
      <c r="A1060" s="31" t="s">
        <v>35</v>
      </c>
      <c r="B1060" s="31" t="s">
        <v>1492</v>
      </c>
      <c r="C1060" s="32" t="s">
        <v>94</v>
      </c>
      <c r="D1060" s="133">
        <v>100</v>
      </c>
      <c r="E1060" s="373"/>
      <c r="F1060" s="137"/>
      <c r="G1060" s="67"/>
      <c r="H1060" s="67">
        <f>+Table_1[[#This Row],[Column7]]+Table_1[[#This Row],[Column6]]+Table_1[[#This Row],[Column5]]+Table_1[[#This Row],[Column4]]</f>
        <v>100</v>
      </c>
      <c r="I1060" s="38">
        <v>1400</v>
      </c>
      <c r="J1060" s="34">
        <f>'PACC GENERAL 2026'!$I1060*'PACC GENERAL 2026'!$H1060</f>
        <v>140000</v>
      </c>
      <c r="K1060" s="35"/>
      <c r="L1060" s="374"/>
      <c r="M1060" s="375"/>
      <c r="N1060" s="18"/>
      <c r="O1060" s="372" t="s">
        <v>404</v>
      </c>
      <c r="P1060" s="18"/>
    </row>
    <row r="1061" spans="1:16" s="97" customFormat="1" ht="15.5">
      <c r="A1061" s="31" t="s">
        <v>35</v>
      </c>
      <c r="B1061" s="31" t="s">
        <v>1493</v>
      </c>
      <c r="C1061" s="32" t="s">
        <v>94</v>
      </c>
      <c r="D1061" s="133">
        <v>1</v>
      </c>
      <c r="E1061" s="373"/>
      <c r="F1061" s="137"/>
      <c r="G1061" s="67"/>
      <c r="H1061" s="67">
        <f>+Table_1[[#This Row],[Column7]]+Table_1[[#This Row],[Column6]]+Table_1[[#This Row],[Column5]]+Table_1[[#This Row],[Column4]]</f>
        <v>1</v>
      </c>
      <c r="I1061" s="38">
        <v>530000</v>
      </c>
      <c r="J1061" s="34">
        <f>'PACC GENERAL 2026'!$I1061*'PACC GENERAL 2026'!$H1061</f>
        <v>530000</v>
      </c>
      <c r="K1061" s="35"/>
      <c r="L1061" s="374"/>
      <c r="M1061" s="375"/>
      <c r="N1061" s="18"/>
      <c r="O1061" s="372" t="s">
        <v>404</v>
      </c>
      <c r="P1061" s="18"/>
    </row>
    <row r="1062" spans="1:16" s="97" customFormat="1" ht="15.5">
      <c r="A1062" s="31" t="s">
        <v>35</v>
      </c>
      <c r="B1062" s="31" t="s">
        <v>1494</v>
      </c>
      <c r="C1062" s="32" t="s">
        <v>94</v>
      </c>
      <c r="D1062" s="133">
        <v>16</v>
      </c>
      <c r="E1062" s="373"/>
      <c r="F1062" s="137"/>
      <c r="G1062" s="67"/>
      <c r="H1062" s="67">
        <f>+Table_1[[#This Row],[Column7]]+Table_1[[#This Row],[Column6]]+Table_1[[#This Row],[Column5]]+Table_1[[#This Row],[Column4]]</f>
        <v>16</v>
      </c>
      <c r="I1062" s="38">
        <v>125000</v>
      </c>
      <c r="J1062" s="34">
        <f>'PACC GENERAL 2026'!$I1062*'PACC GENERAL 2026'!$H1062</f>
        <v>2000000</v>
      </c>
      <c r="K1062" s="35"/>
      <c r="L1062" s="374"/>
      <c r="M1062" s="375"/>
      <c r="N1062" s="18"/>
      <c r="O1062" s="372" t="s">
        <v>404</v>
      </c>
      <c r="P1062" s="18"/>
    </row>
    <row r="1063" spans="1:16" s="97" customFormat="1" ht="15.5">
      <c r="A1063" s="31" t="s">
        <v>35</v>
      </c>
      <c r="B1063" s="31" t="s">
        <v>1495</v>
      </c>
      <c r="C1063" s="32" t="s">
        <v>94</v>
      </c>
      <c r="D1063" s="133">
        <v>4</v>
      </c>
      <c r="E1063" s="373"/>
      <c r="F1063" s="137"/>
      <c r="G1063" s="67"/>
      <c r="H1063" s="67">
        <f>+Table_1[[#This Row],[Column7]]+Table_1[[#This Row],[Column6]]+Table_1[[#This Row],[Column5]]+Table_1[[#This Row],[Column4]]</f>
        <v>4</v>
      </c>
      <c r="I1063" s="38">
        <v>145000</v>
      </c>
      <c r="J1063" s="34">
        <f>'PACC GENERAL 2026'!$I1063*'PACC GENERAL 2026'!$H1063</f>
        <v>580000</v>
      </c>
      <c r="K1063" s="35"/>
      <c r="L1063" s="374"/>
      <c r="M1063" s="375"/>
      <c r="N1063" s="18"/>
      <c r="O1063" s="372" t="s">
        <v>404</v>
      </c>
      <c r="P1063" s="18"/>
    </row>
    <row r="1064" spans="1:16" s="97" customFormat="1" ht="15.5">
      <c r="A1064" s="31" t="s">
        <v>35</v>
      </c>
      <c r="B1064" s="31" t="s">
        <v>264</v>
      </c>
      <c r="C1064" s="32" t="s">
        <v>94</v>
      </c>
      <c r="D1064" s="133">
        <f>17-17</f>
        <v>0</v>
      </c>
      <c r="E1064" s="373"/>
      <c r="F1064" s="137"/>
      <c r="G1064" s="67"/>
      <c r="H1064" s="67">
        <f>+Table_1[[#This Row],[Column7]]+Table_1[[#This Row],[Column6]]+Table_1[[#This Row],[Column5]]+Table_1[[#This Row],[Column4]]</f>
        <v>0</v>
      </c>
      <c r="I1064" s="38">
        <v>3436</v>
      </c>
      <c r="J1064" s="34">
        <f>'PACC GENERAL 2026'!$I1064*'PACC GENERAL 2026'!$H1064</f>
        <v>0</v>
      </c>
      <c r="K1064" s="35"/>
      <c r="L1064" s="374"/>
      <c r="M1064" s="375"/>
      <c r="N1064" s="18"/>
      <c r="O1064" s="372" t="s">
        <v>404</v>
      </c>
      <c r="P1064" s="18"/>
    </row>
    <row r="1065" spans="1:16" s="97" customFormat="1" ht="15.5">
      <c r="A1065" s="31" t="s">
        <v>35</v>
      </c>
      <c r="B1065" s="31" t="s">
        <v>523</v>
      </c>
      <c r="C1065" s="32" t="s">
        <v>94</v>
      </c>
      <c r="D1065" s="133">
        <v>4</v>
      </c>
      <c r="E1065" s="137"/>
      <c r="F1065" s="137">
        <v>3</v>
      </c>
      <c r="G1065" s="137"/>
      <c r="H1065" s="67">
        <f>+Table_1[[#This Row],[Column7]]+Table_1[[#This Row],[Column6]]+Table_1[[#This Row],[Column5]]+Table_1[[#This Row],[Column4]]</f>
        <v>7</v>
      </c>
      <c r="I1065" s="38">
        <v>80000</v>
      </c>
      <c r="J1065" s="34">
        <f>'PACC GENERAL 2026'!$I1065*'PACC GENERAL 2026'!$H1065</f>
        <v>560000</v>
      </c>
      <c r="K1065" s="35"/>
      <c r="L1065" s="31"/>
      <c r="M1065" s="31"/>
      <c r="N1065" s="32"/>
      <c r="O1065" s="63" t="s">
        <v>1516</v>
      </c>
      <c r="P1065" s="320"/>
    </row>
    <row r="1066" spans="1:16" s="97" customFormat="1" ht="15.5">
      <c r="A1066" s="31" t="s">
        <v>35</v>
      </c>
      <c r="B1066" s="36" t="s">
        <v>943</v>
      </c>
      <c r="C1066" s="32" t="s">
        <v>94</v>
      </c>
      <c r="D1066" s="137">
        <v>4</v>
      </c>
      <c r="E1066" s="293"/>
      <c r="F1066" s="275"/>
      <c r="G1066" s="293"/>
      <c r="H1066" s="67">
        <f t="shared" ref="H1066:H1081" si="23">D1066+E1066+F1066+G1066</f>
        <v>4</v>
      </c>
      <c r="I1066" s="38">
        <v>100000</v>
      </c>
      <c r="J1066" s="34">
        <f t="shared" ref="J1066:J1081" si="24">H1066*I1066</f>
        <v>400000</v>
      </c>
      <c r="K1066" s="31"/>
      <c r="L1066" s="31"/>
      <c r="M1066" s="31"/>
      <c r="N1066" s="31"/>
      <c r="O1066" s="63" t="s">
        <v>941</v>
      </c>
      <c r="P1066" s="320"/>
    </row>
    <row r="1067" spans="1:16" s="97" customFormat="1" ht="15.5">
      <c r="A1067" s="31" t="s">
        <v>35</v>
      </c>
      <c r="B1067" s="36" t="s">
        <v>944</v>
      </c>
      <c r="C1067" s="32" t="s">
        <v>94</v>
      </c>
      <c r="D1067" s="137">
        <v>2</v>
      </c>
      <c r="E1067" s="293"/>
      <c r="F1067" s="275"/>
      <c r="G1067" s="293"/>
      <c r="H1067" s="67">
        <f t="shared" ref="H1067:H1079" si="25">D1067+E1067+F1067+G1067</f>
        <v>2</v>
      </c>
      <c r="I1067" s="38">
        <v>275575</v>
      </c>
      <c r="J1067" s="34">
        <f t="shared" ref="J1067:J1079" si="26">H1067*I1067</f>
        <v>551150</v>
      </c>
      <c r="K1067" s="31"/>
      <c r="L1067" s="31"/>
      <c r="M1067" s="31"/>
      <c r="N1067" s="31"/>
      <c r="O1067" s="63" t="s">
        <v>941</v>
      </c>
      <c r="P1067" s="320"/>
    </row>
    <row r="1068" spans="1:16" s="97" customFormat="1" ht="15.5">
      <c r="A1068" s="31" t="s">
        <v>35</v>
      </c>
      <c r="B1068" s="36" t="s">
        <v>953</v>
      </c>
      <c r="C1068" s="32" t="s">
        <v>94</v>
      </c>
      <c r="D1068" s="137">
        <v>25</v>
      </c>
      <c r="E1068" s="293"/>
      <c r="F1068" s="275"/>
      <c r="G1068" s="293"/>
      <c r="H1068" s="67">
        <f>D1068+E1068+F1068+G1068</f>
        <v>25</v>
      </c>
      <c r="I1068" s="38">
        <v>15000</v>
      </c>
      <c r="J1068" s="34">
        <f>H1068*I1068</f>
        <v>375000</v>
      </c>
      <c r="K1068" s="31"/>
      <c r="L1068" s="31"/>
      <c r="M1068" s="31"/>
      <c r="N1068" s="31"/>
      <c r="O1068" s="63" t="s">
        <v>941</v>
      </c>
      <c r="P1068" s="320"/>
    </row>
    <row r="1069" spans="1:16" s="97" customFormat="1" ht="15.5">
      <c r="A1069" s="31" t="s">
        <v>35</v>
      </c>
      <c r="B1069" s="36" t="s">
        <v>266</v>
      </c>
      <c r="C1069" s="32" t="s">
        <v>94</v>
      </c>
      <c r="D1069" s="137"/>
      <c r="E1069" s="275"/>
      <c r="F1069" s="137">
        <f>38+2</f>
        <v>40</v>
      </c>
      <c r="G1069" s="293"/>
      <c r="H1069" s="67">
        <f>+Table_1[[#This Row],[Column7]]+Table_1[[#This Row],[Column6]]+Table_1[[#This Row],[Column5]]+Table_1[[#This Row],[Column4]]</f>
        <v>40</v>
      </c>
      <c r="I1069" s="38">
        <v>15000</v>
      </c>
      <c r="J1069" s="34">
        <f>'PACC GENERAL 2026'!$I1069*'PACC GENERAL 2026'!$H1069</f>
        <v>600000</v>
      </c>
      <c r="K1069" s="31"/>
      <c r="L1069" s="129"/>
      <c r="M1069" s="129"/>
      <c r="N1069" s="129"/>
      <c r="O1069" s="63" t="s">
        <v>1517</v>
      </c>
      <c r="P1069" s="320"/>
    </row>
    <row r="1070" spans="1:16" s="97" customFormat="1" ht="15.5">
      <c r="A1070" s="31" t="s">
        <v>35</v>
      </c>
      <c r="B1070" s="36" t="s">
        <v>265</v>
      </c>
      <c r="C1070" s="32" t="s">
        <v>94</v>
      </c>
      <c r="D1070" s="137"/>
      <c r="E1070" s="133"/>
      <c r="F1070" s="137">
        <v>24</v>
      </c>
      <c r="G1070" s="137"/>
      <c r="H1070" s="67">
        <f>+Table_1[[#This Row],[Column7]]+Table_1[[#This Row],[Column6]]+Table_1[[#This Row],[Column5]]+Table_1[[#This Row],[Column4]]</f>
        <v>24</v>
      </c>
      <c r="I1070" s="38">
        <v>100000</v>
      </c>
      <c r="J1070" s="34">
        <f>'PACC GENERAL 2026'!$I1070*'PACC GENERAL 2026'!$H1070</f>
        <v>2400000</v>
      </c>
      <c r="K1070" s="31"/>
      <c r="L1070" s="31"/>
      <c r="M1070" s="31"/>
      <c r="N1070" s="31"/>
      <c r="O1070" s="63" t="s">
        <v>1004</v>
      </c>
      <c r="P1070" s="320"/>
    </row>
    <row r="1071" spans="1:16" s="97" customFormat="1" ht="15.5">
      <c r="A1071" s="31" t="s">
        <v>35</v>
      </c>
      <c r="B1071" s="36" t="s">
        <v>262</v>
      </c>
      <c r="C1071" s="32" t="s">
        <v>94</v>
      </c>
      <c r="D1071" s="137"/>
      <c r="E1071" s="133"/>
      <c r="F1071" s="137">
        <v>9</v>
      </c>
      <c r="G1071" s="137"/>
      <c r="H1071" s="67">
        <f>+Table_1[[#This Row],[Column7]]+Table_1[[#This Row],[Column6]]+Table_1[[#This Row],[Column5]]+Table_1[[#This Row],[Column4]]</f>
        <v>9</v>
      </c>
      <c r="I1071" s="38">
        <v>35000</v>
      </c>
      <c r="J1071" s="34">
        <f>'PACC GENERAL 2026'!$I1071*'PACC GENERAL 2026'!$H1071</f>
        <v>315000</v>
      </c>
      <c r="K1071" s="31"/>
      <c r="L1071" s="31"/>
      <c r="M1071" s="31"/>
      <c r="N1071" s="31"/>
      <c r="O1071" s="63" t="s">
        <v>1004</v>
      </c>
      <c r="P1071" s="320"/>
    </row>
    <row r="1072" spans="1:16" s="97" customFormat="1" ht="15.5">
      <c r="A1072" s="31" t="s">
        <v>35</v>
      </c>
      <c r="B1072" s="36" t="s">
        <v>742</v>
      </c>
      <c r="C1072" s="32" t="s">
        <v>93</v>
      </c>
      <c r="D1072" s="133">
        <v>6</v>
      </c>
      <c r="E1072" s="137"/>
      <c r="F1072" s="133"/>
      <c r="G1072" s="137"/>
      <c r="H1072" s="67">
        <f>+Table_1[[#This Row],[Column7]]+Table_1[[#This Row],[Column6]]+Table_1[[#This Row],[Column5]]+Table_1[[#This Row],[Column4]]</f>
        <v>6</v>
      </c>
      <c r="I1072" s="38">
        <v>35000</v>
      </c>
      <c r="J1072" s="34">
        <f>'PACC GENERAL 2026'!$I1072*'PACC GENERAL 2026'!$H1072</f>
        <v>210000</v>
      </c>
      <c r="K1072" s="31"/>
      <c r="L1072" s="31"/>
      <c r="M1072" s="31"/>
      <c r="N1072" s="31"/>
      <c r="O1072" s="63" t="s">
        <v>1101</v>
      </c>
      <c r="P1072" s="320"/>
    </row>
    <row r="1073" spans="1:16" s="97" customFormat="1" ht="15.5">
      <c r="A1073" s="31" t="s">
        <v>35</v>
      </c>
      <c r="B1073" s="31" t="s">
        <v>650</v>
      </c>
      <c r="C1073" s="32" t="s">
        <v>94</v>
      </c>
      <c r="D1073" s="137"/>
      <c r="E1073" s="133"/>
      <c r="F1073" s="133"/>
      <c r="G1073" s="133"/>
      <c r="H1073" s="67">
        <f>+Table_1[[#This Row],[Column7]]+Table_1[[#This Row],[Column6]]+Table_1[[#This Row],[Column5]]+Table_1[[#This Row],[Column4]]</f>
        <v>0</v>
      </c>
      <c r="I1073" s="38">
        <v>770000</v>
      </c>
      <c r="J1073" s="34">
        <f>'PACC GENERAL 2026'!$I1073*'PACC GENERAL 2026'!$H1073</f>
        <v>0</v>
      </c>
      <c r="K1073" s="35"/>
      <c r="L1073" s="31"/>
      <c r="M1073" s="31"/>
      <c r="N1073" s="32"/>
      <c r="O1073" s="32"/>
      <c r="P1073" s="320"/>
    </row>
    <row r="1074" spans="1:16" s="97" customFormat="1" ht="15.5">
      <c r="A1074" s="31" t="s">
        <v>35</v>
      </c>
      <c r="B1074" s="36" t="s">
        <v>741</v>
      </c>
      <c r="C1074" s="32" t="s">
        <v>93</v>
      </c>
      <c r="D1074" s="133">
        <v>6</v>
      </c>
      <c r="E1074" s="137"/>
      <c r="F1074" s="133"/>
      <c r="G1074" s="137"/>
      <c r="H1074" s="67">
        <f>+Table_1[[#This Row],[Column7]]+Table_1[[#This Row],[Column6]]+Table_1[[#This Row],[Column5]]+Table_1[[#This Row],[Column4]]</f>
        <v>6</v>
      </c>
      <c r="I1074" s="38">
        <v>20000</v>
      </c>
      <c r="J1074" s="34">
        <f>'PACC GENERAL 2026'!$I1074*'PACC GENERAL 2026'!$H1074</f>
        <v>120000</v>
      </c>
      <c r="K1074" s="31"/>
      <c r="L1074" s="31"/>
      <c r="M1074" s="31"/>
      <c r="N1074" s="31"/>
      <c r="O1074" s="63" t="s">
        <v>1101</v>
      </c>
      <c r="P1074" s="320"/>
    </row>
    <row r="1075" spans="1:16" s="97" customFormat="1" ht="41.25" customHeight="1">
      <c r="A1075" s="31" t="s">
        <v>35</v>
      </c>
      <c r="B1075" s="36" t="s">
        <v>1690</v>
      </c>
      <c r="C1075" s="32" t="s">
        <v>94</v>
      </c>
      <c r="D1075" s="137">
        <v>4</v>
      </c>
      <c r="E1075" s="293"/>
      <c r="F1075" s="275"/>
      <c r="G1075" s="293"/>
      <c r="H1075" s="67">
        <f t="shared" si="25"/>
        <v>4</v>
      </c>
      <c r="I1075" s="38">
        <v>85000</v>
      </c>
      <c r="J1075" s="34">
        <f t="shared" si="26"/>
        <v>340000</v>
      </c>
      <c r="K1075" s="31"/>
      <c r="L1075" s="31"/>
      <c r="M1075" s="31"/>
      <c r="N1075" s="31"/>
      <c r="O1075" s="63" t="s">
        <v>941</v>
      </c>
      <c r="P1075" s="320"/>
    </row>
    <row r="1076" spans="1:16" s="97" customFormat="1" ht="31">
      <c r="A1076" s="31" t="s">
        <v>35</v>
      </c>
      <c r="B1076" s="36" t="s">
        <v>1380</v>
      </c>
      <c r="C1076" s="32" t="s">
        <v>94</v>
      </c>
      <c r="D1076" s="137">
        <v>2</v>
      </c>
      <c r="E1076" s="293"/>
      <c r="F1076" s="275"/>
      <c r="G1076" s="293"/>
      <c r="H1076" s="67">
        <f t="shared" si="25"/>
        <v>2</v>
      </c>
      <c r="I1076" s="38">
        <v>298304</v>
      </c>
      <c r="J1076" s="34">
        <f t="shared" si="26"/>
        <v>596608</v>
      </c>
      <c r="K1076" s="31"/>
      <c r="L1076" s="31"/>
      <c r="M1076" s="31"/>
      <c r="N1076" s="31"/>
      <c r="O1076" s="63" t="s">
        <v>941</v>
      </c>
      <c r="P1076" s="320"/>
    </row>
    <row r="1077" spans="1:16" s="97" customFormat="1" ht="15.5">
      <c r="A1077" s="31" t="s">
        <v>35</v>
      </c>
      <c r="B1077" s="36" t="s">
        <v>947</v>
      </c>
      <c r="C1077" s="32" t="s">
        <v>94</v>
      </c>
      <c r="D1077" s="137">
        <v>58</v>
      </c>
      <c r="E1077" s="293"/>
      <c r="F1077" s="275"/>
      <c r="G1077" s="293"/>
      <c r="H1077" s="67">
        <f t="shared" si="25"/>
        <v>58</v>
      </c>
      <c r="I1077" s="38">
        <v>450</v>
      </c>
      <c r="J1077" s="34">
        <f t="shared" si="26"/>
        <v>26100</v>
      </c>
      <c r="K1077" s="31"/>
      <c r="L1077" s="31"/>
      <c r="M1077" s="31"/>
      <c r="N1077" s="31"/>
      <c r="O1077" s="63" t="s">
        <v>941</v>
      </c>
      <c r="P1077" s="320"/>
    </row>
    <row r="1078" spans="1:16" s="97" customFormat="1" ht="15.5">
      <c r="A1078" s="31" t="s">
        <v>35</v>
      </c>
      <c r="B1078" s="36" t="s">
        <v>948</v>
      </c>
      <c r="C1078" s="32" t="s">
        <v>94</v>
      </c>
      <c r="D1078" s="137">
        <v>8</v>
      </c>
      <c r="E1078" s="293"/>
      <c r="F1078" s="275"/>
      <c r="G1078" s="293"/>
      <c r="H1078" s="67">
        <f t="shared" si="25"/>
        <v>8</v>
      </c>
      <c r="I1078" s="38">
        <v>1000</v>
      </c>
      <c r="J1078" s="34">
        <f t="shared" si="26"/>
        <v>8000</v>
      </c>
      <c r="K1078" s="31"/>
      <c r="L1078" s="31"/>
      <c r="M1078" s="31"/>
      <c r="N1078" s="31"/>
      <c r="O1078" s="63" t="s">
        <v>941</v>
      </c>
      <c r="P1078" s="320"/>
    </row>
    <row r="1079" spans="1:16" s="97" customFormat="1" ht="15.5">
      <c r="A1079" s="31" t="s">
        <v>35</v>
      </c>
      <c r="B1079" s="36" t="s">
        <v>950</v>
      </c>
      <c r="C1079" s="32" t="s">
        <v>94</v>
      </c>
      <c r="D1079" s="137">
        <v>2</v>
      </c>
      <c r="E1079" s="293"/>
      <c r="F1079" s="275"/>
      <c r="G1079" s="293"/>
      <c r="H1079" s="67">
        <f t="shared" si="25"/>
        <v>2</v>
      </c>
      <c r="I1079" s="38">
        <v>420000</v>
      </c>
      <c r="J1079" s="34">
        <f t="shared" si="26"/>
        <v>840000</v>
      </c>
      <c r="K1079" s="31"/>
      <c r="L1079" s="31"/>
      <c r="M1079" s="31"/>
      <c r="N1079" s="31"/>
      <c r="O1079" s="63" t="s">
        <v>941</v>
      </c>
      <c r="P1079" s="320"/>
    </row>
    <row r="1080" spans="1:16" s="97" customFormat="1" ht="15.5">
      <c r="A1080" s="31" t="s">
        <v>35</v>
      </c>
      <c r="B1080" s="36" t="s">
        <v>951</v>
      </c>
      <c r="C1080" s="32" t="s">
        <v>94</v>
      </c>
      <c r="D1080" s="137">
        <v>2</v>
      </c>
      <c r="E1080" s="293"/>
      <c r="F1080" s="275"/>
      <c r="G1080" s="293"/>
      <c r="H1080" s="67">
        <v>2</v>
      </c>
      <c r="I1080" s="38">
        <v>100000</v>
      </c>
      <c r="J1080" s="34">
        <f t="shared" si="24"/>
        <v>200000</v>
      </c>
      <c r="K1080" s="31"/>
      <c r="L1080" s="31"/>
      <c r="M1080" s="31"/>
      <c r="N1080" s="31"/>
      <c r="O1080" s="63" t="s">
        <v>941</v>
      </c>
      <c r="P1080" s="320"/>
    </row>
    <row r="1081" spans="1:16" s="464" customFormat="1" ht="15.5">
      <c r="A1081" s="164" t="s">
        <v>35</v>
      </c>
      <c r="B1081" s="164" t="s">
        <v>954</v>
      </c>
      <c r="C1081" s="460" t="s">
        <v>94</v>
      </c>
      <c r="D1081" s="479"/>
      <c r="E1081" s="520"/>
      <c r="F1081" s="521"/>
      <c r="G1081" s="520"/>
      <c r="H1081" s="461">
        <f t="shared" si="23"/>
        <v>0</v>
      </c>
      <c r="I1081" s="462">
        <v>15000</v>
      </c>
      <c r="J1081" s="463">
        <f t="shared" si="24"/>
        <v>0</v>
      </c>
      <c r="K1081" s="164"/>
      <c r="L1081" s="164"/>
      <c r="M1081" s="164"/>
      <c r="N1081" s="164"/>
      <c r="O1081" s="522" t="s">
        <v>941</v>
      </c>
      <c r="P1081" s="466"/>
    </row>
    <row r="1082" spans="1:16" ht="15.5">
      <c r="A1082" s="9" t="s">
        <v>35</v>
      </c>
      <c r="B1082" s="10"/>
      <c r="C1082" s="10"/>
      <c r="D1082" s="152"/>
      <c r="E1082" s="152"/>
      <c r="F1082" s="152"/>
      <c r="G1082" s="152"/>
      <c r="H1082" s="111"/>
      <c r="I1082" s="44"/>
      <c r="J1082" s="12"/>
      <c r="K1082" s="13">
        <f>SUM(J1059:J1081)</f>
        <v>10791858</v>
      </c>
      <c r="L1082" s="10"/>
      <c r="M1082" s="10"/>
      <c r="N1082" s="10"/>
      <c r="O1082" s="73"/>
    </row>
    <row r="1083" spans="1:16" s="418" customFormat="1" ht="31">
      <c r="A1083" s="399" t="s">
        <v>376</v>
      </c>
      <c r="B1083" s="399" t="s">
        <v>1496</v>
      </c>
      <c r="C1083" s="420" t="s">
        <v>94</v>
      </c>
      <c r="D1083" s="511">
        <v>115</v>
      </c>
      <c r="E1083" s="410"/>
      <c r="F1083" s="508"/>
      <c r="G1083" s="410"/>
      <c r="H1083" s="410">
        <f>+Table_1[[#This Row],[Column4]]</f>
        <v>115</v>
      </c>
      <c r="I1083" s="486">
        <f>1725000/115</f>
        <v>15000</v>
      </c>
      <c r="J1083" s="422">
        <f>+Table_1[[#This Row],[Column8]]*Table_1[[#This Row],[Column9]]</f>
        <v>1725000</v>
      </c>
      <c r="K1083" s="423"/>
      <c r="L1083" s="420"/>
      <c r="M1083" s="509"/>
      <c r="N1083" s="510"/>
      <c r="O1083" s="420" t="s">
        <v>404</v>
      </c>
      <c r="P1083" s="510"/>
    </row>
    <row r="1084" spans="1:16" ht="31">
      <c r="A1084" s="36" t="s">
        <v>376</v>
      </c>
      <c r="B1084" s="36" t="s">
        <v>1497</v>
      </c>
      <c r="C1084" s="362" t="s">
        <v>94</v>
      </c>
      <c r="D1084" s="98">
        <v>1</v>
      </c>
      <c r="E1084" s="376"/>
      <c r="F1084" s="151"/>
      <c r="G1084" s="376"/>
      <c r="H1084" s="67">
        <v>1</v>
      </c>
      <c r="I1084" s="43">
        <v>1800000</v>
      </c>
      <c r="J1084" s="17">
        <v>1800000</v>
      </c>
      <c r="K1084" s="8"/>
      <c r="L1084" s="362"/>
      <c r="M1084" s="377"/>
      <c r="N1084" s="273"/>
      <c r="O1084" s="362" t="s">
        <v>404</v>
      </c>
      <c r="P1084" s="273"/>
    </row>
    <row r="1085" spans="1:16" s="418" customFormat="1" ht="31">
      <c r="A1085" s="399" t="s">
        <v>376</v>
      </c>
      <c r="B1085" s="399" t="s">
        <v>1498</v>
      </c>
      <c r="C1085" s="420" t="s">
        <v>94</v>
      </c>
      <c r="D1085" s="511">
        <v>2</v>
      </c>
      <c r="E1085" s="410"/>
      <c r="F1085" s="508"/>
      <c r="G1085" s="410"/>
      <c r="H1085" s="410">
        <f>+Table_1[[#This Row],[Column4]]</f>
        <v>2</v>
      </c>
      <c r="I1085" s="486">
        <f>221000/2</f>
        <v>110500</v>
      </c>
      <c r="J1085" s="422">
        <f>+Table_1[[#This Row],[Column8]]*Table_1[[#This Row],[Column9]]</f>
        <v>221000</v>
      </c>
      <c r="K1085" s="423"/>
      <c r="L1085" s="420"/>
      <c r="M1085" s="509"/>
      <c r="N1085" s="510"/>
      <c r="O1085" s="420" t="s">
        <v>404</v>
      </c>
      <c r="P1085" s="510"/>
    </row>
    <row r="1086" spans="1:16" s="418" customFormat="1" ht="31">
      <c r="A1086" s="399" t="s">
        <v>376</v>
      </c>
      <c r="B1086" s="399" t="s">
        <v>1499</v>
      </c>
      <c r="C1086" s="420" t="s">
        <v>94</v>
      </c>
      <c r="D1086" s="511">
        <v>10</v>
      </c>
      <c r="E1086" s="410"/>
      <c r="F1086" s="508"/>
      <c r="G1086" s="410"/>
      <c r="H1086" s="410">
        <f>+Table_1[[#This Row],[Column4]]</f>
        <v>10</v>
      </c>
      <c r="I1086" s="486">
        <v>35000</v>
      </c>
      <c r="J1086" s="422">
        <f>+Table_1[[#This Row],[Column8]]*Table_1[[#This Row],[Column9]]</f>
        <v>350000</v>
      </c>
      <c r="K1086" s="423"/>
      <c r="L1086" s="420"/>
      <c r="M1086" s="509"/>
      <c r="N1086" s="510"/>
      <c r="O1086" s="420" t="s">
        <v>404</v>
      </c>
      <c r="P1086" s="510"/>
    </row>
    <row r="1087" spans="1:16" s="418" customFormat="1" ht="31">
      <c r="A1087" s="399" t="s">
        <v>376</v>
      </c>
      <c r="B1087" s="399" t="s">
        <v>1500</v>
      </c>
      <c r="C1087" s="420" t="s">
        <v>94</v>
      </c>
      <c r="D1087" s="511">
        <v>20</v>
      </c>
      <c r="E1087" s="410"/>
      <c r="F1087" s="508"/>
      <c r="G1087" s="410"/>
      <c r="H1087" s="410">
        <f>+Table_1[[#This Row],[Column4]]</f>
        <v>20</v>
      </c>
      <c r="I1087" s="486">
        <f>1200000/20</f>
        <v>60000</v>
      </c>
      <c r="J1087" s="422">
        <f>+Table_1[[#This Row],[Column8]]*Table_1[[#This Row],[Column9]]</f>
        <v>1200000</v>
      </c>
      <c r="K1087" s="423"/>
      <c r="L1087" s="420"/>
      <c r="M1087" s="509"/>
      <c r="N1087" s="510"/>
      <c r="O1087" s="420" t="s">
        <v>404</v>
      </c>
      <c r="P1087" s="510"/>
    </row>
    <row r="1088" spans="1:16" s="414" customFormat="1" ht="15.75" customHeight="1">
      <c r="A1088" s="399" t="s">
        <v>376</v>
      </c>
      <c r="B1088" s="399" t="s">
        <v>897</v>
      </c>
      <c r="C1088" s="407" t="s">
        <v>94</v>
      </c>
      <c r="D1088" s="410">
        <v>25</v>
      </c>
      <c r="E1088" s="487"/>
      <c r="F1088" s="415"/>
      <c r="G1088" s="415"/>
      <c r="H1088" s="410">
        <f>+Table_1[[#This Row],[Column4]]</f>
        <v>25</v>
      </c>
      <c r="I1088" s="274">
        <v>35000</v>
      </c>
      <c r="J1088" s="422">
        <f>+Table_1[[#This Row],[Column8]]*Table_1[[#This Row],[Column9]]</f>
        <v>875000</v>
      </c>
      <c r="K1088" s="412"/>
      <c r="L1088" s="399"/>
      <c r="M1088" s="399"/>
      <c r="N1088" s="399"/>
      <c r="O1088" s="407" t="s">
        <v>404</v>
      </c>
      <c r="P1088" s="413"/>
    </row>
    <row r="1089" spans="1:16" s="414" customFormat="1" ht="15.75" customHeight="1">
      <c r="A1089" s="399" t="s">
        <v>376</v>
      </c>
      <c r="B1089" s="399" t="s">
        <v>898</v>
      </c>
      <c r="C1089" s="407" t="s">
        <v>94</v>
      </c>
      <c r="D1089" s="410">
        <v>30</v>
      </c>
      <c r="E1089" s="487"/>
      <c r="F1089" s="415"/>
      <c r="G1089" s="415"/>
      <c r="H1089" s="410">
        <f>+Table_1[[#This Row],[Column4]]</f>
        <v>30</v>
      </c>
      <c r="I1089" s="274">
        <v>20000</v>
      </c>
      <c r="J1089" s="422">
        <f>+Table_1[[#This Row],[Column8]]*Table_1[[#This Row],[Column9]]</f>
        <v>600000</v>
      </c>
      <c r="K1089" s="412"/>
      <c r="L1089" s="399"/>
      <c r="M1089" s="399"/>
      <c r="N1089" s="399"/>
      <c r="O1089" s="407" t="s">
        <v>404</v>
      </c>
      <c r="P1089" s="413"/>
    </row>
    <row r="1090" spans="1:16" ht="31">
      <c r="A1090" s="36" t="s">
        <v>376</v>
      </c>
      <c r="B1090" s="36" t="s">
        <v>924</v>
      </c>
      <c r="C1090" s="276" t="s">
        <v>94</v>
      </c>
      <c r="D1090" s="98">
        <v>10</v>
      </c>
      <c r="E1090" s="149"/>
      <c r="F1090" s="151"/>
      <c r="G1090" s="149"/>
      <c r="H1090" s="67">
        <f t="shared" ref="H1090" si="27">D1090</f>
        <v>10</v>
      </c>
      <c r="I1090" s="43">
        <v>20000</v>
      </c>
      <c r="J1090" s="17">
        <f t="shared" ref="J1090" si="28">D1090*I1090</f>
        <v>200000</v>
      </c>
      <c r="K1090" s="8"/>
      <c r="L1090" s="16"/>
      <c r="M1090" s="16"/>
      <c r="N1090" s="276"/>
      <c r="O1090" s="276" t="s">
        <v>404</v>
      </c>
    </row>
    <row r="1091" spans="1:16" ht="31">
      <c r="A1091" s="54" t="s">
        <v>376</v>
      </c>
      <c r="B1091" s="10"/>
      <c r="C1091" s="10"/>
      <c r="D1091" s="152"/>
      <c r="E1091" s="152"/>
      <c r="F1091" s="152"/>
      <c r="G1091" s="152"/>
      <c r="H1091" s="111"/>
      <c r="I1091" s="44"/>
      <c r="J1091" s="12"/>
      <c r="K1091" s="13">
        <f>SUM(J1083:J1090)</f>
        <v>6971000</v>
      </c>
      <c r="L1091" s="10"/>
      <c r="M1091" s="10"/>
      <c r="N1091" s="10"/>
      <c r="O1091" s="73"/>
    </row>
    <row r="1092" spans="1:16" s="97" customFormat="1" ht="15.5">
      <c r="A1092" s="36" t="s">
        <v>36</v>
      </c>
      <c r="B1092" s="36" t="s">
        <v>763</v>
      </c>
      <c r="C1092" s="37" t="s">
        <v>94</v>
      </c>
      <c r="D1092" s="138"/>
      <c r="E1092" s="137"/>
      <c r="F1092" s="138"/>
      <c r="G1092" s="138"/>
      <c r="H1092" s="67">
        <f>+Table_1[[#This Row],[Column7]]+Table_1[[#This Row],[Column6]]+Table_1[[#This Row],[Column5]]+Table_1[[#This Row],[Column4]]</f>
        <v>0</v>
      </c>
      <c r="I1092" s="38">
        <v>514750</v>
      </c>
      <c r="J1092" s="39">
        <f>'PACC GENERAL 2026'!$I1092*'PACC GENERAL 2026'!$H1092</f>
        <v>0</v>
      </c>
      <c r="K1092" s="40"/>
      <c r="L1092" s="36"/>
      <c r="M1092" s="36"/>
      <c r="N1092" s="37"/>
      <c r="O1092" s="37"/>
    </row>
    <row r="1093" spans="1:16" s="97" customFormat="1" ht="15.5">
      <c r="A1093" s="36" t="s">
        <v>36</v>
      </c>
      <c r="B1093" s="36" t="s">
        <v>930</v>
      </c>
      <c r="C1093" s="37" t="s">
        <v>94</v>
      </c>
      <c r="D1093" s="138"/>
      <c r="E1093" s="137">
        <v>1</v>
      </c>
      <c r="F1093" s="138"/>
      <c r="G1093" s="138"/>
      <c r="H1093" s="67">
        <f>+Table_1[[#This Row],[Column7]]+Table_1[[#This Row],[Column6]]+Table_1[[#This Row],[Column5]]+Table_1[[#This Row],[Column4]]</f>
        <v>1</v>
      </c>
      <c r="I1093" s="38">
        <v>4000000</v>
      </c>
      <c r="J1093" s="39">
        <f>'PACC GENERAL 2026'!$I1093*'PACC GENERAL 2026'!$H1093</f>
        <v>4000000</v>
      </c>
      <c r="K1093" s="40"/>
      <c r="L1093" s="36"/>
      <c r="M1093" s="36"/>
      <c r="N1093" s="37"/>
      <c r="O1093" s="37" t="s">
        <v>979</v>
      </c>
    </row>
    <row r="1094" spans="1:16" s="418" customFormat="1" ht="15.5">
      <c r="A1094" s="126" t="s">
        <v>36</v>
      </c>
      <c r="B1094" s="399" t="s">
        <v>945</v>
      </c>
      <c r="C1094" s="420" t="s">
        <v>94</v>
      </c>
      <c r="D1094" s="416">
        <v>1</v>
      </c>
      <c r="E1094" s="506"/>
      <c r="F1094" s="507"/>
      <c r="G1094" s="506"/>
      <c r="H1094" s="410">
        <f>D1094+E1094+F1094+G1094</f>
        <v>1</v>
      </c>
      <c r="I1094" s="274">
        <v>315000</v>
      </c>
      <c r="J1094" s="422">
        <f>H1094*I1094</f>
        <v>315000</v>
      </c>
      <c r="K1094" s="126"/>
      <c r="L1094" s="126"/>
      <c r="M1094" s="126"/>
      <c r="N1094" s="126"/>
      <c r="O1094" s="426" t="s">
        <v>941</v>
      </c>
      <c r="P1094" s="417"/>
    </row>
    <row r="1095" spans="1:16" ht="15.5">
      <c r="A1095" s="9" t="s">
        <v>36</v>
      </c>
      <c r="B1095" s="10" t="s">
        <v>117</v>
      </c>
      <c r="C1095" s="10"/>
      <c r="D1095" s="152"/>
      <c r="E1095" s="152"/>
      <c r="F1095" s="152"/>
      <c r="G1095" s="152"/>
      <c r="H1095" s="111"/>
      <c r="I1095" s="44"/>
      <c r="J1095" s="12"/>
      <c r="K1095" s="13">
        <f>SUM(J1092:J1094)</f>
        <v>4315000</v>
      </c>
      <c r="L1095" s="10"/>
      <c r="M1095" s="10"/>
      <c r="N1095" s="10"/>
      <c r="O1095" s="73"/>
      <c r="P1095" s="336"/>
    </row>
    <row r="1096" spans="1:16" s="287" customFormat="1" ht="15" customHeight="1">
      <c r="A1096" s="36" t="s">
        <v>37</v>
      </c>
      <c r="B1096" s="36" t="s">
        <v>104</v>
      </c>
      <c r="C1096" s="37" t="s">
        <v>94</v>
      </c>
      <c r="D1096" s="143"/>
      <c r="E1096" s="143">
        <f>50-5</f>
        <v>45</v>
      </c>
      <c r="F1096" s="143"/>
      <c r="G1096" s="216"/>
      <c r="H1096" s="67">
        <f t="shared" ref="H1096:H1127" si="29">SUM(D1096:G1096)</f>
        <v>45</v>
      </c>
      <c r="I1096" s="38">
        <v>200</v>
      </c>
      <c r="J1096" s="39">
        <f t="shared" ref="J1096:J1126" si="30">H1096*I1096</f>
        <v>9000</v>
      </c>
      <c r="K1096" s="40"/>
      <c r="L1096" s="36"/>
      <c r="M1096" s="36"/>
      <c r="N1096" s="36"/>
      <c r="O1096" s="37" t="s">
        <v>1101</v>
      </c>
      <c r="P1096" s="323"/>
    </row>
    <row r="1097" spans="1:16" s="287" customFormat="1" ht="15" customHeight="1">
      <c r="A1097" s="36" t="s">
        <v>37</v>
      </c>
      <c r="B1097" s="36" t="s">
        <v>263</v>
      </c>
      <c r="C1097" s="37" t="s">
        <v>94</v>
      </c>
      <c r="D1097" s="143"/>
      <c r="E1097" s="143">
        <v>10</v>
      </c>
      <c r="F1097" s="143"/>
      <c r="G1097" s="216"/>
      <c r="H1097" s="67">
        <f t="shared" si="29"/>
        <v>10</v>
      </c>
      <c r="I1097" s="38">
        <v>4000</v>
      </c>
      <c r="J1097" s="39">
        <f t="shared" si="30"/>
        <v>40000</v>
      </c>
      <c r="K1097" s="40"/>
      <c r="L1097" s="36"/>
      <c r="M1097" s="36"/>
      <c r="N1097" s="36"/>
      <c r="O1097" s="37" t="s">
        <v>1101</v>
      </c>
      <c r="P1097" s="323"/>
    </row>
    <row r="1098" spans="1:16" s="287" customFormat="1" ht="15" customHeight="1">
      <c r="A1098" s="36" t="s">
        <v>37</v>
      </c>
      <c r="B1098" s="36" t="s">
        <v>449</v>
      </c>
      <c r="C1098" s="37" t="s">
        <v>94</v>
      </c>
      <c r="D1098" s="143"/>
      <c r="E1098" s="143">
        <f>25-10</f>
        <v>15</v>
      </c>
      <c r="F1098" s="143"/>
      <c r="G1098" s="216"/>
      <c r="H1098" s="67">
        <f t="shared" si="29"/>
        <v>15</v>
      </c>
      <c r="I1098" s="38">
        <v>6000</v>
      </c>
      <c r="J1098" s="39">
        <f t="shared" si="30"/>
        <v>90000</v>
      </c>
      <c r="K1098" s="40"/>
      <c r="L1098" s="36"/>
      <c r="M1098" s="36"/>
      <c r="N1098" s="36"/>
      <c r="O1098" s="37" t="s">
        <v>1101</v>
      </c>
      <c r="P1098" s="323"/>
    </row>
    <row r="1099" spans="1:16" s="287" customFormat="1" ht="15" customHeight="1">
      <c r="A1099" s="36" t="s">
        <v>37</v>
      </c>
      <c r="B1099" s="36" t="s">
        <v>1103</v>
      </c>
      <c r="C1099" s="37" t="s">
        <v>94</v>
      </c>
      <c r="D1099" s="143"/>
      <c r="E1099" s="143">
        <v>10</v>
      </c>
      <c r="F1099" s="143"/>
      <c r="G1099" s="216"/>
      <c r="H1099" s="67">
        <f t="shared" si="29"/>
        <v>10</v>
      </c>
      <c r="I1099" s="38">
        <v>9200</v>
      </c>
      <c r="J1099" s="39">
        <f t="shared" si="30"/>
        <v>92000</v>
      </c>
      <c r="K1099" s="40"/>
      <c r="L1099" s="36"/>
      <c r="M1099" s="36"/>
      <c r="N1099" s="36"/>
      <c r="O1099" s="37" t="s">
        <v>1101</v>
      </c>
      <c r="P1099" s="323"/>
    </row>
    <row r="1100" spans="1:16" s="287" customFormat="1" ht="15" customHeight="1">
      <c r="A1100" s="36" t="s">
        <v>37</v>
      </c>
      <c r="B1100" s="36" t="s">
        <v>1104</v>
      </c>
      <c r="C1100" s="37" t="s">
        <v>94</v>
      </c>
      <c r="D1100" s="143"/>
      <c r="E1100" s="143">
        <v>10</v>
      </c>
      <c r="F1100" s="143"/>
      <c r="G1100" s="216"/>
      <c r="H1100" s="67">
        <f t="shared" si="29"/>
        <v>10</v>
      </c>
      <c r="I1100" s="38">
        <v>15000</v>
      </c>
      <c r="J1100" s="39">
        <f t="shared" si="30"/>
        <v>150000</v>
      </c>
      <c r="K1100" s="40"/>
      <c r="L1100" s="36"/>
      <c r="M1100" s="36"/>
      <c r="N1100" s="36"/>
      <c r="O1100" s="37" t="s">
        <v>1101</v>
      </c>
      <c r="P1100" s="323"/>
    </row>
    <row r="1101" spans="1:16" s="287" customFormat="1" ht="15" customHeight="1">
      <c r="A1101" s="36" t="s">
        <v>37</v>
      </c>
      <c r="B1101" s="36" t="s">
        <v>1105</v>
      </c>
      <c r="C1101" s="37" t="s">
        <v>94</v>
      </c>
      <c r="D1101" s="143"/>
      <c r="E1101" s="143">
        <v>10</v>
      </c>
      <c r="F1101" s="143"/>
      <c r="G1101" s="216"/>
      <c r="H1101" s="67">
        <f t="shared" si="29"/>
        <v>10</v>
      </c>
      <c r="I1101" s="38">
        <v>18500</v>
      </c>
      <c r="J1101" s="39">
        <f t="shared" si="30"/>
        <v>185000</v>
      </c>
      <c r="K1101" s="40"/>
      <c r="L1101" s="36"/>
      <c r="M1101" s="36"/>
      <c r="N1101" s="36"/>
      <c r="O1101" s="37" t="s">
        <v>1101</v>
      </c>
      <c r="P1101" s="323"/>
    </row>
    <row r="1102" spans="1:16" s="287" customFormat="1" ht="15" customHeight="1">
      <c r="A1102" s="36" t="s">
        <v>37</v>
      </c>
      <c r="B1102" s="36" t="s">
        <v>1106</v>
      </c>
      <c r="C1102" s="37" t="s">
        <v>94</v>
      </c>
      <c r="D1102" s="143"/>
      <c r="E1102" s="143">
        <v>10</v>
      </c>
      <c r="F1102" s="143"/>
      <c r="G1102" s="216"/>
      <c r="H1102" s="67">
        <f t="shared" si="29"/>
        <v>10</v>
      </c>
      <c r="I1102" s="38">
        <v>18500</v>
      </c>
      <c r="J1102" s="39">
        <f t="shared" si="30"/>
        <v>185000</v>
      </c>
      <c r="K1102" s="40"/>
      <c r="L1102" s="36"/>
      <c r="M1102" s="36"/>
      <c r="N1102" s="36"/>
      <c r="O1102" s="37" t="s">
        <v>1101</v>
      </c>
      <c r="P1102" s="323"/>
    </row>
    <row r="1103" spans="1:16" s="287" customFormat="1" ht="15" customHeight="1">
      <c r="A1103" s="36" t="s">
        <v>37</v>
      </c>
      <c r="B1103" s="36" t="s">
        <v>1107</v>
      </c>
      <c r="C1103" s="37" t="s">
        <v>94</v>
      </c>
      <c r="D1103" s="143"/>
      <c r="E1103" s="143">
        <v>10</v>
      </c>
      <c r="F1103" s="143"/>
      <c r="G1103" s="216"/>
      <c r="H1103" s="67">
        <f t="shared" si="29"/>
        <v>10</v>
      </c>
      <c r="I1103" s="38">
        <v>18500</v>
      </c>
      <c r="J1103" s="39">
        <f t="shared" si="30"/>
        <v>185000</v>
      </c>
      <c r="K1103" s="40"/>
      <c r="L1103" s="36"/>
      <c r="M1103" s="36"/>
      <c r="N1103" s="36"/>
      <c r="O1103" s="37" t="s">
        <v>1101</v>
      </c>
      <c r="P1103" s="323"/>
    </row>
    <row r="1104" spans="1:16" s="287" customFormat="1" ht="15" customHeight="1">
      <c r="A1104" s="36" t="s">
        <v>37</v>
      </c>
      <c r="B1104" s="36" t="s">
        <v>1108</v>
      </c>
      <c r="C1104" s="37" t="s">
        <v>94</v>
      </c>
      <c r="D1104" s="143"/>
      <c r="E1104" s="143">
        <v>15</v>
      </c>
      <c r="F1104" s="143"/>
      <c r="G1104" s="216"/>
      <c r="H1104" s="67">
        <f t="shared" si="29"/>
        <v>15</v>
      </c>
      <c r="I1104" s="38">
        <v>6500</v>
      </c>
      <c r="J1104" s="39">
        <f t="shared" si="30"/>
        <v>97500</v>
      </c>
      <c r="K1104" s="40"/>
      <c r="L1104" s="36"/>
      <c r="M1104" s="36"/>
      <c r="N1104" s="36"/>
      <c r="O1104" s="37" t="s">
        <v>1101</v>
      </c>
      <c r="P1104" s="323"/>
    </row>
    <row r="1105" spans="1:16" s="287" customFormat="1" ht="15" customHeight="1">
      <c r="A1105" s="36" t="s">
        <v>37</v>
      </c>
      <c r="B1105" s="36" t="s">
        <v>1109</v>
      </c>
      <c r="C1105" s="37" t="s">
        <v>94</v>
      </c>
      <c r="D1105" s="143"/>
      <c r="E1105" s="143">
        <v>20</v>
      </c>
      <c r="F1105" s="143"/>
      <c r="G1105" s="216"/>
      <c r="H1105" s="67">
        <f t="shared" si="29"/>
        <v>20</v>
      </c>
      <c r="I1105" s="38">
        <v>16500</v>
      </c>
      <c r="J1105" s="39">
        <f t="shared" si="30"/>
        <v>330000</v>
      </c>
      <c r="K1105" s="40"/>
      <c r="L1105" s="36"/>
      <c r="M1105" s="36"/>
      <c r="N1105" s="36"/>
      <c r="O1105" s="37" t="s">
        <v>1101</v>
      </c>
      <c r="P1105" s="323"/>
    </row>
    <row r="1106" spans="1:16" s="287" customFormat="1" ht="15" customHeight="1">
      <c r="A1106" s="36" t="s">
        <v>37</v>
      </c>
      <c r="B1106" s="36" t="s">
        <v>1110</v>
      </c>
      <c r="C1106" s="37" t="s">
        <v>94</v>
      </c>
      <c r="D1106" s="143"/>
      <c r="E1106" s="143">
        <v>10</v>
      </c>
      <c r="F1106" s="143"/>
      <c r="G1106" s="216"/>
      <c r="H1106" s="67">
        <f t="shared" si="29"/>
        <v>10</v>
      </c>
      <c r="I1106" s="38">
        <v>8000</v>
      </c>
      <c r="J1106" s="39">
        <f t="shared" si="30"/>
        <v>80000</v>
      </c>
      <c r="K1106" s="40"/>
      <c r="L1106" s="36"/>
      <c r="M1106" s="36"/>
      <c r="N1106" s="36"/>
      <c r="O1106" s="37" t="s">
        <v>1101</v>
      </c>
      <c r="P1106" s="323"/>
    </row>
    <row r="1107" spans="1:16" s="287" customFormat="1" ht="15" customHeight="1">
      <c r="A1107" s="36" t="s">
        <v>37</v>
      </c>
      <c r="B1107" s="36" t="s">
        <v>1111</v>
      </c>
      <c r="C1107" s="37" t="s">
        <v>94</v>
      </c>
      <c r="D1107" s="143"/>
      <c r="E1107" s="143">
        <v>10</v>
      </c>
      <c r="F1107" s="143"/>
      <c r="G1107" s="216"/>
      <c r="H1107" s="67">
        <f t="shared" si="29"/>
        <v>10</v>
      </c>
      <c r="I1107" s="38">
        <v>8000</v>
      </c>
      <c r="J1107" s="39">
        <f t="shared" si="30"/>
        <v>80000</v>
      </c>
      <c r="K1107" s="40"/>
      <c r="L1107" s="36"/>
      <c r="M1107" s="36"/>
      <c r="N1107" s="36"/>
      <c r="O1107" s="37" t="s">
        <v>1101</v>
      </c>
      <c r="P1107" s="323"/>
    </row>
    <row r="1108" spans="1:16" s="287" customFormat="1" ht="15" customHeight="1">
      <c r="A1108" s="36" t="s">
        <v>37</v>
      </c>
      <c r="B1108" s="36" t="s">
        <v>1112</v>
      </c>
      <c r="C1108" s="37" t="s">
        <v>94</v>
      </c>
      <c r="D1108" s="143"/>
      <c r="E1108" s="143">
        <v>10</v>
      </c>
      <c r="F1108" s="143"/>
      <c r="G1108" s="216"/>
      <c r="H1108" s="67">
        <f t="shared" si="29"/>
        <v>10</v>
      </c>
      <c r="I1108" s="38">
        <v>8000</v>
      </c>
      <c r="J1108" s="39">
        <f t="shared" si="30"/>
        <v>80000</v>
      </c>
      <c r="K1108" s="40"/>
      <c r="L1108" s="36"/>
      <c r="M1108" s="36"/>
      <c r="N1108" s="36"/>
      <c r="O1108" s="37" t="s">
        <v>1101</v>
      </c>
      <c r="P1108" s="323"/>
    </row>
    <row r="1109" spans="1:16" s="287" customFormat="1" ht="15" customHeight="1">
      <c r="A1109" s="36" t="s">
        <v>37</v>
      </c>
      <c r="B1109" s="36" t="s">
        <v>1113</v>
      </c>
      <c r="C1109" s="37" t="s">
        <v>94</v>
      </c>
      <c r="D1109" s="143"/>
      <c r="E1109" s="143">
        <v>10</v>
      </c>
      <c r="F1109" s="143"/>
      <c r="G1109" s="216"/>
      <c r="H1109" s="67">
        <f t="shared" si="29"/>
        <v>10</v>
      </c>
      <c r="I1109" s="38">
        <v>8000</v>
      </c>
      <c r="J1109" s="39">
        <f t="shared" si="30"/>
        <v>80000</v>
      </c>
      <c r="K1109" s="40"/>
      <c r="L1109" s="36"/>
      <c r="M1109" s="36"/>
      <c r="N1109" s="36"/>
      <c r="O1109" s="37" t="s">
        <v>1101</v>
      </c>
      <c r="P1109" s="323"/>
    </row>
    <row r="1110" spans="1:16" s="287" customFormat="1" ht="15" customHeight="1">
      <c r="A1110" s="36" t="s">
        <v>37</v>
      </c>
      <c r="B1110" s="36" t="s">
        <v>1114</v>
      </c>
      <c r="C1110" s="37" t="s">
        <v>94</v>
      </c>
      <c r="D1110" s="143"/>
      <c r="E1110" s="143">
        <v>15</v>
      </c>
      <c r="F1110" s="143"/>
      <c r="G1110" s="216"/>
      <c r="H1110" s="67">
        <f t="shared" si="29"/>
        <v>15</v>
      </c>
      <c r="I1110" s="38">
        <v>8500</v>
      </c>
      <c r="J1110" s="39">
        <f t="shared" si="30"/>
        <v>127500</v>
      </c>
      <c r="K1110" s="40"/>
      <c r="L1110" s="36"/>
      <c r="M1110" s="36"/>
      <c r="N1110" s="36"/>
      <c r="O1110" s="37" t="s">
        <v>1101</v>
      </c>
      <c r="P1110" s="323"/>
    </row>
    <row r="1111" spans="1:16" s="287" customFormat="1" ht="15" customHeight="1">
      <c r="A1111" s="36" t="s">
        <v>37</v>
      </c>
      <c r="B1111" s="36" t="s">
        <v>855</v>
      </c>
      <c r="C1111" s="37" t="s">
        <v>94</v>
      </c>
      <c r="D1111" s="143"/>
      <c r="E1111" s="143">
        <v>20</v>
      </c>
      <c r="F1111" s="143"/>
      <c r="G1111" s="216"/>
      <c r="H1111" s="67">
        <f t="shared" si="29"/>
        <v>20</v>
      </c>
      <c r="I1111" s="38">
        <v>18000</v>
      </c>
      <c r="J1111" s="39">
        <f t="shared" si="30"/>
        <v>360000</v>
      </c>
      <c r="K1111" s="40"/>
      <c r="L1111" s="36"/>
      <c r="M1111" s="36"/>
      <c r="N1111" s="36"/>
      <c r="O1111" s="37" t="s">
        <v>1101</v>
      </c>
      <c r="P1111" s="323"/>
    </row>
    <row r="1112" spans="1:16" s="287" customFormat="1" ht="15" customHeight="1">
      <c r="A1112" s="36" t="s">
        <v>37</v>
      </c>
      <c r="B1112" s="36" t="s">
        <v>857</v>
      </c>
      <c r="C1112" s="37" t="s">
        <v>94</v>
      </c>
      <c r="D1112" s="143"/>
      <c r="E1112" s="143">
        <v>10</v>
      </c>
      <c r="F1112" s="143"/>
      <c r="G1112" s="216"/>
      <c r="H1112" s="67">
        <f t="shared" si="29"/>
        <v>10</v>
      </c>
      <c r="I1112" s="38">
        <v>18000</v>
      </c>
      <c r="J1112" s="39">
        <f t="shared" si="30"/>
        <v>180000</v>
      </c>
      <c r="K1112" s="40"/>
      <c r="L1112" s="36"/>
      <c r="M1112" s="36"/>
      <c r="N1112" s="36"/>
      <c r="O1112" s="37" t="s">
        <v>1101</v>
      </c>
      <c r="P1112" s="323"/>
    </row>
    <row r="1113" spans="1:16" s="287" customFormat="1" ht="15" customHeight="1">
      <c r="A1113" s="36" t="s">
        <v>37</v>
      </c>
      <c r="B1113" s="36" t="s">
        <v>858</v>
      </c>
      <c r="C1113" s="37" t="s">
        <v>94</v>
      </c>
      <c r="D1113" s="143"/>
      <c r="E1113" s="143">
        <v>10</v>
      </c>
      <c r="F1113" s="143"/>
      <c r="G1113" s="216"/>
      <c r="H1113" s="67">
        <f t="shared" si="29"/>
        <v>10</v>
      </c>
      <c r="I1113" s="38">
        <v>18000</v>
      </c>
      <c r="J1113" s="39">
        <f t="shared" si="30"/>
        <v>180000</v>
      </c>
      <c r="K1113" s="40"/>
      <c r="L1113" s="36"/>
      <c r="M1113" s="36"/>
      <c r="N1113" s="36"/>
      <c r="O1113" s="37" t="s">
        <v>1101</v>
      </c>
      <c r="P1113" s="323"/>
    </row>
    <row r="1114" spans="1:16" s="287" customFormat="1" ht="15" customHeight="1">
      <c r="A1114" s="36" t="s">
        <v>37</v>
      </c>
      <c r="B1114" s="36" t="s">
        <v>859</v>
      </c>
      <c r="C1114" s="37" t="s">
        <v>94</v>
      </c>
      <c r="D1114" s="143"/>
      <c r="E1114" s="143">
        <v>10</v>
      </c>
      <c r="F1114" s="143"/>
      <c r="G1114" s="216"/>
      <c r="H1114" s="67">
        <f t="shared" si="29"/>
        <v>10</v>
      </c>
      <c r="I1114" s="38">
        <v>18000</v>
      </c>
      <c r="J1114" s="39">
        <f t="shared" si="30"/>
        <v>180000</v>
      </c>
      <c r="K1114" s="40"/>
      <c r="L1114" s="36"/>
      <c r="M1114" s="36"/>
      <c r="N1114" s="36"/>
      <c r="O1114" s="37" t="s">
        <v>1101</v>
      </c>
      <c r="P1114" s="323"/>
    </row>
    <row r="1115" spans="1:16" s="287" customFormat="1" ht="15" customHeight="1">
      <c r="A1115" s="36" t="s">
        <v>37</v>
      </c>
      <c r="B1115" s="36" t="s">
        <v>860</v>
      </c>
      <c r="C1115" s="37" t="s">
        <v>94</v>
      </c>
      <c r="D1115" s="143"/>
      <c r="E1115" s="143">
        <v>10</v>
      </c>
      <c r="F1115" s="143"/>
      <c r="G1115" s="216"/>
      <c r="H1115" s="67">
        <f t="shared" si="29"/>
        <v>10</v>
      </c>
      <c r="I1115" s="38">
        <v>16000</v>
      </c>
      <c r="J1115" s="39">
        <f t="shared" si="30"/>
        <v>160000</v>
      </c>
      <c r="K1115" s="40"/>
      <c r="L1115" s="36"/>
      <c r="M1115" s="36"/>
      <c r="N1115" s="36"/>
      <c r="O1115" s="37" t="s">
        <v>1101</v>
      </c>
      <c r="P1115" s="323"/>
    </row>
    <row r="1116" spans="1:16" s="287" customFormat="1" ht="15" customHeight="1">
      <c r="A1116" s="36" t="s">
        <v>37</v>
      </c>
      <c r="B1116" s="36" t="s">
        <v>1115</v>
      </c>
      <c r="C1116" s="37" t="s">
        <v>94</v>
      </c>
      <c r="D1116" s="143"/>
      <c r="E1116" s="143">
        <v>15</v>
      </c>
      <c r="F1116" s="143"/>
      <c r="G1116" s="216"/>
      <c r="H1116" s="67">
        <f t="shared" si="29"/>
        <v>15</v>
      </c>
      <c r="I1116" s="38">
        <v>10000</v>
      </c>
      <c r="J1116" s="39">
        <f t="shared" si="30"/>
        <v>150000</v>
      </c>
      <c r="K1116" s="40"/>
      <c r="L1116" s="36"/>
      <c r="M1116" s="36"/>
      <c r="N1116" s="36"/>
      <c r="O1116" s="37" t="s">
        <v>1101</v>
      </c>
      <c r="P1116" s="323"/>
    </row>
    <row r="1117" spans="1:16" s="287" customFormat="1" ht="15" customHeight="1">
      <c r="A1117" s="36" t="s">
        <v>37</v>
      </c>
      <c r="B1117" s="36" t="s">
        <v>1116</v>
      </c>
      <c r="C1117" s="37" t="s">
        <v>94</v>
      </c>
      <c r="D1117" s="143"/>
      <c r="E1117" s="143">
        <v>10</v>
      </c>
      <c r="F1117" s="143"/>
      <c r="G1117" s="216"/>
      <c r="H1117" s="67">
        <f t="shared" si="29"/>
        <v>10</v>
      </c>
      <c r="I1117" s="38">
        <v>10500</v>
      </c>
      <c r="J1117" s="39">
        <f t="shared" si="30"/>
        <v>105000</v>
      </c>
      <c r="K1117" s="40"/>
      <c r="L1117" s="36"/>
      <c r="M1117" s="36"/>
      <c r="N1117" s="36"/>
      <c r="O1117" s="37" t="s">
        <v>1101</v>
      </c>
      <c r="P1117" s="323"/>
    </row>
    <row r="1118" spans="1:16" s="287" customFormat="1" ht="15" customHeight="1">
      <c r="A1118" s="36" t="s">
        <v>37</v>
      </c>
      <c r="B1118" s="36" t="s">
        <v>1117</v>
      </c>
      <c r="C1118" s="37" t="s">
        <v>94</v>
      </c>
      <c r="D1118" s="143"/>
      <c r="E1118" s="143">
        <v>10</v>
      </c>
      <c r="F1118" s="143"/>
      <c r="G1118" s="216"/>
      <c r="H1118" s="67">
        <f t="shared" si="29"/>
        <v>10</v>
      </c>
      <c r="I1118" s="38">
        <v>10500</v>
      </c>
      <c r="J1118" s="39">
        <f t="shared" si="30"/>
        <v>105000</v>
      </c>
      <c r="K1118" s="40"/>
      <c r="L1118" s="36"/>
      <c r="M1118" s="36"/>
      <c r="N1118" s="36"/>
      <c r="O1118" s="37" t="s">
        <v>1101</v>
      </c>
      <c r="P1118" s="323"/>
    </row>
    <row r="1119" spans="1:16" s="287" customFormat="1" ht="15" customHeight="1">
      <c r="A1119" s="36" t="s">
        <v>37</v>
      </c>
      <c r="B1119" s="36" t="s">
        <v>1118</v>
      </c>
      <c r="C1119" s="37" t="s">
        <v>94</v>
      </c>
      <c r="D1119" s="143"/>
      <c r="E1119" s="143">
        <v>10</v>
      </c>
      <c r="F1119" s="143"/>
      <c r="G1119" s="216"/>
      <c r="H1119" s="67">
        <f t="shared" si="29"/>
        <v>10</v>
      </c>
      <c r="I1119" s="38">
        <v>10500</v>
      </c>
      <c r="J1119" s="39">
        <f t="shared" si="30"/>
        <v>105000</v>
      </c>
      <c r="K1119" s="40"/>
      <c r="L1119" s="36"/>
      <c r="M1119" s="36"/>
      <c r="N1119" s="36"/>
      <c r="O1119" s="37" t="s">
        <v>1101</v>
      </c>
      <c r="P1119" s="323"/>
    </row>
    <row r="1120" spans="1:16" s="287" customFormat="1" ht="15" customHeight="1">
      <c r="A1120" s="36" t="s">
        <v>37</v>
      </c>
      <c r="B1120" s="36" t="s">
        <v>1119</v>
      </c>
      <c r="C1120" s="37" t="s">
        <v>94</v>
      </c>
      <c r="D1120" s="143"/>
      <c r="E1120" s="143">
        <v>10</v>
      </c>
      <c r="F1120" s="143"/>
      <c r="G1120" s="216"/>
      <c r="H1120" s="67">
        <f t="shared" si="29"/>
        <v>10</v>
      </c>
      <c r="I1120" s="38">
        <v>10500</v>
      </c>
      <c r="J1120" s="39">
        <f t="shared" si="30"/>
        <v>105000</v>
      </c>
      <c r="K1120" s="40"/>
      <c r="L1120" s="36"/>
      <c r="M1120" s="36"/>
      <c r="N1120" s="36"/>
      <c r="O1120" s="37" t="s">
        <v>1101</v>
      </c>
      <c r="P1120" s="323"/>
    </row>
    <row r="1121" spans="1:16" s="287" customFormat="1" ht="15" customHeight="1">
      <c r="A1121" s="36" t="s">
        <v>37</v>
      </c>
      <c r="B1121" s="36" t="s">
        <v>1120</v>
      </c>
      <c r="C1121" s="37" t="s">
        <v>94</v>
      </c>
      <c r="D1121" s="143"/>
      <c r="E1121" s="143">
        <v>10</v>
      </c>
      <c r="F1121" s="143"/>
      <c r="G1121" s="216"/>
      <c r="H1121" s="67">
        <f t="shared" si="29"/>
        <v>10</v>
      </c>
      <c r="I1121" s="38">
        <v>10500</v>
      </c>
      <c r="J1121" s="39">
        <f t="shared" si="30"/>
        <v>105000</v>
      </c>
      <c r="K1121" s="40"/>
      <c r="L1121" s="36"/>
      <c r="M1121" s="36"/>
      <c r="N1121" s="36"/>
      <c r="O1121" s="37" t="s">
        <v>1101</v>
      </c>
      <c r="P1121" s="323"/>
    </row>
    <row r="1122" spans="1:16" s="287" customFormat="1" ht="15" customHeight="1">
      <c r="A1122" s="36" t="s">
        <v>37</v>
      </c>
      <c r="B1122" s="36" t="s">
        <v>1121</v>
      </c>
      <c r="C1122" s="37" t="s">
        <v>94</v>
      </c>
      <c r="D1122" s="143"/>
      <c r="E1122" s="143">
        <v>10</v>
      </c>
      <c r="F1122" s="143"/>
      <c r="G1122" s="216"/>
      <c r="H1122" s="67">
        <f t="shared" si="29"/>
        <v>10</v>
      </c>
      <c r="I1122" s="38">
        <v>10500</v>
      </c>
      <c r="J1122" s="39">
        <f t="shared" si="30"/>
        <v>105000</v>
      </c>
      <c r="K1122" s="40"/>
      <c r="L1122" s="36"/>
      <c r="M1122" s="36"/>
      <c r="N1122" s="36"/>
      <c r="O1122" s="37" t="s">
        <v>1101</v>
      </c>
      <c r="P1122" s="323"/>
    </row>
    <row r="1123" spans="1:16" s="287" customFormat="1" ht="15" customHeight="1">
      <c r="A1123" s="36" t="s">
        <v>37</v>
      </c>
      <c r="B1123" s="36" t="s">
        <v>1122</v>
      </c>
      <c r="C1123" s="37" t="s">
        <v>94</v>
      </c>
      <c r="D1123" s="143"/>
      <c r="E1123" s="143">
        <v>10</v>
      </c>
      <c r="F1123" s="143"/>
      <c r="G1123" s="216"/>
      <c r="H1123" s="67">
        <f t="shared" si="29"/>
        <v>10</v>
      </c>
      <c r="I1123" s="38">
        <v>10500</v>
      </c>
      <c r="J1123" s="39">
        <f t="shared" si="30"/>
        <v>105000</v>
      </c>
      <c r="K1123" s="40"/>
      <c r="L1123" s="36"/>
      <c r="M1123" s="36"/>
      <c r="N1123" s="36"/>
      <c r="O1123" s="37" t="s">
        <v>1101</v>
      </c>
      <c r="P1123" s="323"/>
    </row>
    <row r="1124" spans="1:16" s="287" customFormat="1" ht="15" customHeight="1">
      <c r="A1124" s="36" t="s">
        <v>37</v>
      </c>
      <c r="B1124" s="36" t="s">
        <v>1123</v>
      </c>
      <c r="C1124" s="37" t="s">
        <v>94</v>
      </c>
      <c r="D1124" s="143"/>
      <c r="E1124" s="143">
        <v>10</v>
      </c>
      <c r="F1124" s="143"/>
      <c r="G1124" s="216"/>
      <c r="H1124" s="67">
        <f t="shared" si="29"/>
        <v>10</v>
      </c>
      <c r="I1124" s="38">
        <v>10500</v>
      </c>
      <c r="J1124" s="39">
        <f t="shared" si="30"/>
        <v>105000</v>
      </c>
      <c r="K1124" s="40"/>
      <c r="L1124" s="36"/>
      <c r="M1124" s="36"/>
      <c r="N1124" s="36"/>
      <c r="O1124" s="37" t="s">
        <v>1101</v>
      </c>
      <c r="P1124" s="323"/>
    </row>
    <row r="1125" spans="1:16" s="287" customFormat="1" ht="15" customHeight="1">
      <c r="A1125" s="36" t="s">
        <v>37</v>
      </c>
      <c r="B1125" s="36" t="s">
        <v>1124</v>
      </c>
      <c r="C1125" s="37" t="s">
        <v>94</v>
      </c>
      <c r="D1125" s="143"/>
      <c r="E1125" s="143">
        <v>10</v>
      </c>
      <c r="F1125" s="143"/>
      <c r="G1125" s="216"/>
      <c r="H1125" s="67">
        <f t="shared" si="29"/>
        <v>10</v>
      </c>
      <c r="I1125" s="38">
        <v>450</v>
      </c>
      <c r="J1125" s="39">
        <f t="shared" si="30"/>
        <v>4500</v>
      </c>
      <c r="K1125" s="40"/>
      <c r="L1125" s="36"/>
      <c r="M1125" s="36"/>
      <c r="N1125" s="36"/>
      <c r="O1125" s="37" t="s">
        <v>1101</v>
      </c>
      <c r="P1125" s="323"/>
    </row>
    <row r="1126" spans="1:16" s="287" customFormat="1" ht="15" customHeight="1">
      <c r="A1126" s="36" t="s">
        <v>37</v>
      </c>
      <c r="B1126" s="36" t="s">
        <v>271</v>
      </c>
      <c r="C1126" s="37" t="s">
        <v>94</v>
      </c>
      <c r="D1126" s="143"/>
      <c r="E1126" s="143">
        <v>12</v>
      </c>
      <c r="F1126" s="143"/>
      <c r="G1126" s="216"/>
      <c r="H1126" s="67">
        <f t="shared" si="29"/>
        <v>12</v>
      </c>
      <c r="I1126" s="38">
        <v>20000</v>
      </c>
      <c r="J1126" s="39">
        <f t="shared" si="30"/>
        <v>240000</v>
      </c>
      <c r="K1126" s="40"/>
      <c r="L1126" s="36"/>
      <c r="M1126" s="36"/>
      <c r="N1126" s="36"/>
      <c r="O1126" s="37" t="s">
        <v>1101</v>
      </c>
      <c r="P1126" s="323"/>
    </row>
    <row r="1127" spans="1:16" s="97" customFormat="1" ht="15.5">
      <c r="A1127" s="36" t="s">
        <v>37</v>
      </c>
      <c r="B1127" s="36" t="s">
        <v>946</v>
      </c>
      <c r="C1127" s="32" t="s">
        <v>94</v>
      </c>
      <c r="D1127" s="137"/>
      <c r="E1127" s="137">
        <v>4</v>
      </c>
      <c r="F1127" s="133"/>
      <c r="G1127" s="137"/>
      <c r="H1127" s="67">
        <f t="shared" si="29"/>
        <v>4</v>
      </c>
      <c r="I1127" s="38">
        <v>10000</v>
      </c>
      <c r="J1127" s="34">
        <f>H1127*I1127</f>
        <v>40000</v>
      </c>
      <c r="K1127" s="31"/>
      <c r="L1127" s="31"/>
      <c r="M1127" s="31"/>
      <c r="N1127" s="31"/>
      <c r="O1127" s="63" t="s">
        <v>941</v>
      </c>
      <c r="P1127" s="320"/>
    </row>
    <row r="1128" spans="1:16" s="287" customFormat="1" ht="15" customHeight="1">
      <c r="A1128" s="36" t="s">
        <v>37</v>
      </c>
      <c r="B1128" s="36" t="s">
        <v>1367</v>
      </c>
      <c r="C1128" s="37" t="s">
        <v>94</v>
      </c>
      <c r="D1128" s="143"/>
      <c r="E1128" s="143">
        <v>10</v>
      </c>
      <c r="F1128" s="143"/>
      <c r="G1128" s="216"/>
      <c r="H1128" s="67">
        <f>+Table_1[[#This Row],[Column7]]+Table_1[[#This Row],[Column6]]+Table_1[[#This Row],[Column5]]+Table_1[[#This Row],[Column4]]</f>
        <v>10</v>
      </c>
      <c r="I1128" s="38">
        <v>3000</v>
      </c>
      <c r="J1128" s="203">
        <f>'PACC GENERAL 2026'!$I1128*'PACC GENERAL 2026'!$H1128</f>
        <v>30000</v>
      </c>
      <c r="K1128" s="40"/>
      <c r="L1128" s="36"/>
      <c r="M1128" s="36"/>
      <c r="N1128" s="36"/>
      <c r="O1128" s="37" t="s">
        <v>1338</v>
      </c>
      <c r="P1128" s="323"/>
    </row>
    <row r="1129" spans="1:16" s="287" customFormat="1" ht="15" customHeight="1">
      <c r="A1129" s="36" t="s">
        <v>37</v>
      </c>
      <c r="B1129" s="36" t="s">
        <v>856</v>
      </c>
      <c r="C1129" s="37" t="s">
        <v>98</v>
      </c>
      <c r="D1129" s="143"/>
      <c r="E1129" s="143"/>
      <c r="F1129" s="143"/>
      <c r="G1129" s="216"/>
      <c r="H1129" s="67">
        <f>+Table_1[[#This Row],[Column7]]+Table_1[[#This Row],[Column6]]+Table_1[[#This Row],[Column5]]+Table_1[[#This Row],[Column4]]</f>
        <v>0</v>
      </c>
      <c r="I1129" s="38">
        <v>750</v>
      </c>
      <c r="J1129" s="39">
        <f>'PACC GENERAL 2026'!$I1129*'PACC GENERAL 2026'!$H1129</f>
        <v>0</v>
      </c>
      <c r="K1129" s="40"/>
      <c r="L1129" s="36"/>
      <c r="M1129" s="36"/>
      <c r="N1129" s="36"/>
      <c r="O1129" s="37"/>
      <c r="P1129" s="323"/>
    </row>
    <row r="1130" spans="1:16" s="97" customFormat="1" ht="15.5">
      <c r="A1130" s="31" t="s">
        <v>37</v>
      </c>
      <c r="B1130" s="31" t="s">
        <v>271</v>
      </c>
      <c r="C1130" s="32" t="s">
        <v>94</v>
      </c>
      <c r="D1130" s="142"/>
      <c r="E1130" s="137">
        <v>1</v>
      </c>
      <c r="F1130" s="137"/>
      <c r="G1130" s="133"/>
      <c r="H1130" s="67">
        <f>+Table_1[[#This Row],[Column7]]+Table_1[[#This Row],[Column6]]+Table_1[[#This Row],[Column5]]+Table_1[[#This Row],[Column4]]</f>
        <v>1</v>
      </c>
      <c r="I1130" s="38">
        <v>12000</v>
      </c>
      <c r="J1130" s="34">
        <f>'PACC GENERAL 2026'!$I1130*'PACC GENERAL 2026'!$H1130</f>
        <v>12000</v>
      </c>
      <c r="K1130" s="35"/>
      <c r="L1130" s="31"/>
      <c r="M1130" s="31"/>
      <c r="N1130" s="32"/>
      <c r="O1130" s="32" t="s">
        <v>414</v>
      </c>
    </row>
    <row r="1131" spans="1:16" s="97" customFormat="1" ht="15.5">
      <c r="A1131" s="48" t="s">
        <v>37</v>
      </c>
      <c r="B1131" s="48" t="s">
        <v>290</v>
      </c>
      <c r="C1131" s="63" t="s">
        <v>94</v>
      </c>
      <c r="D1131" s="142"/>
      <c r="E1131" s="137"/>
      <c r="F1131" s="137"/>
      <c r="G1131" s="155"/>
      <c r="H1131" s="67">
        <f>+Table_1[[#This Row],[Column7]]+Table_1[[#This Row],[Column6]]+Table_1[[#This Row],[Column5]]+Table_1[[#This Row],[Column4]]</f>
        <v>0</v>
      </c>
      <c r="I1131" s="77">
        <v>670</v>
      </c>
      <c r="J1131" s="34">
        <f>'PACC GENERAL 2026'!$I1131*'PACC GENERAL 2026'!$H1131</f>
        <v>0</v>
      </c>
      <c r="K1131" s="35"/>
      <c r="L1131" s="31"/>
      <c r="M1131" s="31"/>
      <c r="N1131" s="32"/>
      <c r="O1131" s="32"/>
    </row>
    <row r="1132" spans="1:16" ht="15.5">
      <c r="A1132" s="9" t="s">
        <v>37</v>
      </c>
      <c r="B1132" s="10"/>
      <c r="C1132" s="10"/>
      <c r="D1132" s="152"/>
      <c r="E1132" s="152"/>
      <c r="F1132" s="152"/>
      <c r="G1132" s="152"/>
      <c r="H1132" s="111"/>
      <c r="I1132" s="44"/>
      <c r="J1132" s="12"/>
      <c r="K1132" s="13">
        <f>SUM(J1096:J1131)</f>
        <v>4187500</v>
      </c>
      <c r="L1132" s="10"/>
      <c r="M1132" s="10"/>
      <c r="N1132" s="10"/>
      <c r="O1132" s="73"/>
    </row>
    <row r="1133" spans="1:16" s="97" customFormat="1" ht="15.5">
      <c r="A1133" s="174" t="s">
        <v>446</v>
      </c>
      <c r="B1133" s="174" t="s">
        <v>447</v>
      </c>
      <c r="C1133" s="178" t="s">
        <v>94</v>
      </c>
      <c r="D1133" s="142">
        <v>10</v>
      </c>
      <c r="E1133" s="194"/>
      <c r="F1133" s="182"/>
      <c r="G1133" s="194"/>
      <c r="H1133" s="67">
        <f>+Table_1[[#This Row],[Column7]]+Table_1[[#This Row],[Column6]]+Table_1[[#This Row],[Column5]]+Table_1[[#This Row],[Column4]]</f>
        <v>10</v>
      </c>
      <c r="I1133" s="177">
        <v>950</v>
      </c>
      <c r="J1133" s="201">
        <f>'PACC GENERAL 2026'!$I1133*'PACC GENERAL 2026'!$H1133</f>
        <v>9500</v>
      </c>
      <c r="K1133" s="186"/>
      <c r="L1133" s="174"/>
      <c r="M1133" s="174"/>
      <c r="N1133" s="174"/>
      <c r="O1133" s="179" t="s">
        <v>1001</v>
      </c>
    </row>
    <row r="1134" spans="1:16" ht="15.5">
      <c r="A1134" s="78" t="s">
        <v>446</v>
      </c>
      <c r="B1134" s="10"/>
      <c r="C1134" s="10"/>
      <c r="D1134" s="152"/>
      <c r="E1134" s="152"/>
      <c r="F1134" s="152"/>
      <c r="G1134" s="152"/>
      <c r="H1134" s="111"/>
      <c r="I1134" s="44"/>
      <c r="J1134" s="12"/>
      <c r="K1134" s="13">
        <f>+J1133</f>
        <v>9500</v>
      </c>
      <c r="L1134" s="10"/>
      <c r="M1134" s="10"/>
      <c r="N1134" s="10"/>
      <c r="O1134" s="73"/>
    </row>
    <row r="1135" spans="1:16" s="97" customFormat="1" ht="15.5">
      <c r="A1135" s="31" t="s">
        <v>38</v>
      </c>
      <c r="B1135" s="31" t="s">
        <v>640</v>
      </c>
      <c r="C1135" s="32" t="s">
        <v>94</v>
      </c>
      <c r="D1135" s="142">
        <v>350</v>
      </c>
      <c r="E1135" s="137"/>
      <c r="F1135" s="142">
        <v>300</v>
      </c>
      <c r="G1135" s="167"/>
      <c r="H1135" s="67">
        <f>+Table_1[[#This Row],[Column7]]+Table_1[[#This Row],[Column6]]+Table_1[[#This Row],[Column5]]+Table_1[[#This Row],[Column4]]</f>
        <v>650</v>
      </c>
      <c r="I1135" s="38">
        <v>303.02</v>
      </c>
      <c r="J1135" s="34">
        <f>'PACC GENERAL 2026'!$I1135*'PACC GENERAL 2026'!$H1135</f>
        <v>196963</v>
      </c>
      <c r="K1135" s="35"/>
      <c r="L1135" s="31"/>
      <c r="M1135" s="31"/>
      <c r="N1135" s="31"/>
      <c r="O1135" s="32" t="s">
        <v>1101</v>
      </c>
    </row>
    <row r="1136" spans="1:16" s="97" customFormat="1" ht="15.5">
      <c r="A1136" s="31" t="s">
        <v>38</v>
      </c>
      <c r="B1136" s="31" t="s">
        <v>641</v>
      </c>
      <c r="C1136" s="32" t="s">
        <v>94</v>
      </c>
      <c r="D1136" s="142">
        <v>35</v>
      </c>
      <c r="E1136" s="137"/>
      <c r="F1136" s="142">
        <v>100</v>
      </c>
      <c r="G1136" s="167"/>
      <c r="H1136" s="67">
        <f>+Table_1[[#This Row],[Column7]]+Table_1[[#This Row],[Column6]]+Table_1[[#This Row],[Column5]]+Table_1[[#This Row],[Column4]]</f>
        <v>135</v>
      </c>
      <c r="I1136" s="38">
        <v>400</v>
      </c>
      <c r="J1136" s="34">
        <f>'PACC GENERAL 2026'!$I1136*'PACC GENERAL 2026'!$H1136</f>
        <v>54000</v>
      </c>
      <c r="K1136" s="35"/>
      <c r="L1136" s="31"/>
      <c r="M1136" s="31"/>
      <c r="N1136" s="31"/>
      <c r="O1136" s="32" t="s">
        <v>1101</v>
      </c>
    </row>
    <row r="1137" spans="1:16" s="97" customFormat="1" ht="15.5">
      <c r="A1137" s="31" t="s">
        <v>38</v>
      </c>
      <c r="B1137" s="36" t="s">
        <v>272</v>
      </c>
      <c r="C1137" s="32" t="s">
        <v>98</v>
      </c>
      <c r="D1137" s="142"/>
      <c r="E1137" s="137"/>
      <c r="F1137" s="142">
        <v>1500</v>
      </c>
      <c r="G1137" s="167"/>
      <c r="H1137" s="67">
        <f>+Table_1[[#This Row],[Column7]]+Table_1[[#This Row],[Column6]]+Table_1[[#This Row],[Column5]]+Table_1[[#This Row],[Column4]]</f>
        <v>1500</v>
      </c>
      <c r="I1137" s="38">
        <v>250</v>
      </c>
      <c r="J1137" s="34">
        <f>'PACC GENERAL 2026'!$I1137*'PACC GENERAL 2026'!$H1137</f>
        <v>375000</v>
      </c>
      <c r="K1137" s="35"/>
      <c r="L1137" s="31"/>
      <c r="M1137" s="31"/>
      <c r="N1137" s="31"/>
      <c r="O1137" s="32" t="s">
        <v>1101</v>
      </c>
    </row>
    <row r="1138" spans="1:16" s="97" customFormat="1" ht="15.5">
      <c r="A1138" s="31" t="s">
        <v>38</v>
      </c>
      <c r="B1138" s="36" t="s">
        <v>383</v>
      </c>
      <c r="C1138" s="32" t="s">
        <v>98</v>
      </c>
      <c r="D1138" s="142"/>
      <c r="E1138" s="137"/>
      <c r="F1138" s="142">
        <v>1500</v>
      </c>
      <c r="G1138" s="167"/>
      <c r="H1138" s="67">
        <f>+Table_1[[#This Row],[Column7]]+Table_1[[#This Row],[Column6]]+Table_1[[#This Row],[Column5]]+Table_1[[#This Row],[Column4]]</f>
        <v>1500</v>
      </c>
      <c r="I1138" s="38">
        <v>250</v>
      </c>
      <c r="J1138" s="34">
        <f>'PACC GENERAL 2026'!$I1138*'PACC GENERAL 2026'!$H1138</f>
        <v>375000</v>
      </c>
      <c r="K1138" s="35"/>
      <c r="L1138" s="31"/>
      <c r="M1138" s="31"/>
      <c r="N1138" s="31"/>
      <c r="O1138" s="32" t="s">
        <v>1101</v>
      </c>
    </row>
    <row r="1139" spans="1:16" s="97" customFormat="1" ht="15.5">
      <c r="A1139" s="31" t="s">
        <v>38</v>
      </c>
      <c r="B1139" s="31" t="s">
        <v>384</v>
      </c>
      <c r="C1139" s="32" t="s">
        <v>98</v>
      </c>
      <c r="D1139" s="142"/>
      <c r="E1139" s="137"/>
      <c r="F1139" s="142">
        <v>1500</v>
      </c>
      <c r="G1139" s="167"/>
      <c r="H1139" s="67">
        <f>+Table_1[[#This Row],[Column7]]+Table_1[[#This Row],[Column6]]+Table_1[[#This Row],[Column5]]+Table_1[[#This Row],[Column4]]</f>
        <v>1500</v>
      </c>
      <c r="I1139" s="38">
        <v>250</v>
      </c>
      <c r="J1139" s="34">
        <f>'PACC GENERAL 2026'!$I1139*'PACC GENERAL 2026'!$H1139</f>
        <v>375000</v>
      </c>
      <c r="K1139" s="35"/>
      <c r="L1139" s="31"/>
      <c r="M1139" s="31"/>
      <c r="N1139" s="31"/>
      <c r="O1139" s="32" t="s">
        <v>1101</v>
      </c>
    </row>
    <row r="1140" spans="1:16" s="97" customFormat="1" ht="15.5">
      <c r="A1140" s="31" t="s">
        <v>38</v>
      </c>
      <c r="B1140" s="31" t="s">
        <v>273</v>
      </c>
      <c r="C1140" s="32" t="s">
        <v>98</v>
      </c>
      <c r="D1140" s="142"/>
      <c r="E1140" s="137"/>
      <c r="F1140" s="142">
        <v>150</v>
      </c>
      <c r="G1140" s="167"/>
      <c r="H1140" s="67">
        <f>+Table_1[[#This Row],[Column7]]+Table_1[[#This Row],[Column6]]+Table_1[[#This Row],[Column5]]+Table_1[[#This Row],[Column4]]</f>
        <v>150</v>
      </c>
      <c r="I1140" s="38">
        <v>145</v>
      </c>
      <c r="J1140" s="34">
        <f>'PACC GENERAL 2026'!$I1140*'PACC GENERAL 2026'!$H1140</f>
        <v>21750</v>
      </c>
      <c r="K1140" s="35"/>
      <c r="L1140" s="31"/>
      <c r="M1140" s="31"/>
      <c r="N1140" s="32"/>
      <c r="O1140" s="32" t="s">
        <v>1101</v>
      </c>
    </row>
    <row r="1141" spans="1:16" s="97" customFormat="1" ht="15.5">
      <c r="A1141" s="31" t="s">
        <v>38</v>
      </c>
      <c r="B1141" s="31" t="s">
        <v>448</v>
      </c>
      <c r="C1141" s="32" t="s">
        <v>94</v>
      </c>
      <c r="D1141" s="142">
        <v>1000</v>
      </c>
      <c r="E1141" s="137"/>
      <c r="F1141" s="142">
        <v>1200</v>
      </c>
      <c r="G1141" s="167"/>
      <c r="H1141" s="67">
        <f>+Table_1[[#This Row],[Column7]]+Table_1[[#This Row],[Column6]]+Table_1[[#This Row],[Column5]]+Table_1[[#This Row],[Column4]]</f>
        <v>2200</v>
      </c>
      <c r="I1141" s="38">
        <v>3</v>
      </c>
      <c r="J1141" s="34">
        <f>'PACC GENERAL 2026'!$I1141*'PACC GENERAL 2026'!$H1141</f>
        <v>6600</v>
      </c>
      <c r="K1141" s="35"/>
      <c r="L1141" s="31"/>
      <c r="M1141" s="31"/>
      <c r="N1141" s="31"/>
      <c r="O1141" s="32" t="s">
        <v>1101</v>
      </c>
    </row>
    <row r="1142" spans="1:16" s="97" customFormat="1" ht="15.5">
      <c r="A1142" s="31" t="s">
        <v>38</v>
      </c>
      <c r="B1142" s="31" t="s">
        <v>276</v>
      </c>
      <c r="C1142" s="32" t="s">
        <v>94</v>
      </c>
      <c r="D1142" s="142">
        <v>1000</v>
      </c>
      <c r="E1142" s="137"/>
      <c r="F1142" s="142">
        <v>1200</v>
      </c>
      <c r="G1142" s="167"/>
      <c r="H1142" s="67">
        <f>+Table_1[[#This Row],[Column7]]+Table_1[[#This Row],[Column6]]+Table_1[[#This Row],[Column5]]+Table_1[[#This Row],[Column4]]</f>
        <v>2200</v>
      </c>
      <c r="I1142" s="38">
        <v>2.97</v>
      </c>
      <c r="J1142" s="34">
        <f>'PACC GENERAL 2026'!$I1142*'PACC GENERAL 2026'!$H1142</f>
        <v>6534</v>
      </c>
      <c r="K1142" s="35"/>
      <c r="L1142" s="31"/>
      <c r="M1142" s="31"/>
      <c r="N1142" s="31"/>
      <c r="O1142" s="32" t="s">
        <v>1101</v>
      </c>
    </row>
    <row r="1143" spans="1:16" s="97" customFormat="1" ht="15.5">
      <c r="A1143" s="31" t="s">
        <v>38</v>
      </c>
      <c r="B1143" s="31" t="s">
        <v>277</v>
      </c>
      <c r="C1143" s="32" t="s">
        <v>94</v>
      </c>
      <c r="D1143" s="142">
        <v>2000</v>
      </c>
      <c r="E1143" s="137"/>
      <c r="F1143" s="142">
        <v>1500</v>
      </c>
      <c r="G1143" s="167"/>
      <c r="H1143" s="67">
        <f>+Table_1[[#This Row],[Column7]]+Table_1[[#This Row],[Column6]]+Table_1[[#This Row],[Column5]]+Table_1[[#This Row],[Column4]]</f>
        <v>3500</v>
      </c>
      <c r="I1143" s="38">
        <v>11</v>
      </c>
      <c r="J1143" s="34">
        <f>'PACC GENERAL 2026'!$I1143*'PACC GENERAL 2026'!$H1143</f>
        <v>38500</v>
      </c>
      <c r="K1143" s="35"/>
      <c r="L1143" s="31"/>
      <c r="M1143" s="31"/>
      <c r="N1143" s="31"/>
      <c r="O1143" s="32" t="s">
        <v>1101</v>
      </c>
    </row>
    <row r="1144" spans="1:16" s="97" customFormat="1" ht="15.5">
      <c r="A1144" s="31" t="s">
        <v>38</v>
      </c>
      <c r="B1144" s="31" t="s">
        <v>278</v>
      </c>
      <c r="C1144" s="32" t="s">
        <v>94</v>
      </c>
      <c r="D1144" s="142">
        <v>1000</v>
      </c>
      <c r="E1144" s="137"/>
      <c r="F1144" s="142">
        <v>500</v>
      </c>
      <c r="G1144" s="167"/>
      <c r="H1144" s="67">
        <f>+Table_1[[#This Row],[Column7]]+Table_1[[#This Row],[Column6]]+Table_1[[#This Row],[Column5]]+Table_1[[#This Row],[Column4]]</f>
        <v>1500</v>
      </c>
      <c r="I1144" s="38">
        <v>16</v>
      </c>
      <c r="J1144" s="34">
        <f>'PACC GENERAL 2026'!$I1144*'PACC GENERAL 2026'!$H1144</f>
        <v>24000</v>
      </c>
      <c r="K1144" s="35"/>
      <c r="L1144" s="31"/>
      <c r="M1144" s="31"/>
      <c r="N1144" s="31"/>
      <c r="O1144" s="32" t="s">
        <v>1101</v>
      </c>
    </row>
    <row r="1145" spans="1:16" s="97" customFormat="1" ht="15.5">
      <c r="A1145" s="31" t="s">
        <v>38</v>
      </c>
      <c r="B1145" s="31" t="s">
        <v>1153</v>
      </c>
      <c r="C1145" s="32" t="s">
        <v>98</v>
      </c>
      <c r="D1145" s="142">
        <v>100</v>
      </c>
      <c r="E1145" s="137"/>
      <c r="F1145" s="142">
        <v>225</v>
      </c>
      <c r="G1145" s="167"/>
      <c r="H1145" s="67">
        <f>+Table_1[[#This Row],[Column7]]+Table_1[[#This Row],[Column6]]+Table_1[[#This Row],[Column5]]+Table_1[[#This Row],[Column4]]</f>
        <v>325</v>
      </c>
      <c r="I1145" s="38">
        <v>481.44</v>
      </c>
      <c r="J1145" s="34">
        <f>'PACC GENERAL 2026'!$I1145*'PACC GENERAL 2026'!$H1145</f>
        <v>156468</v>
      </c>
      <c r="K1145" s="35"/>
      <c r="L1145" s="31"/>
      <c r="M1145" s="31"/>
      <c r="N1145" s="31"/>
      <c r="O1145" s="32" t="s">
        <v>1101</v>
      </c>
    </row>
    <row r="1146" spans="1:16" s="97" customFormat="1" ht="15.5">
      <c r="A1146" s="31" t="s">
        <v>38</v>
      </c>
      <c r="B1146" s="31" t="s">
        <v>642</v>
      </c>
      <c r="C1146" s="32" t="s">
        <v>94</v>
      </c>
      <c r="D1146" s="142">
        <v>1000</v>
      </c>
      <c r="E1146" s="137"/>
      <c r="F1146" s="142">
        <v>2000</v>
      </c>
      <c r="G1146" s="167"/>
      <c r="H1146" s="67">
        <f>+Table_1[[#This Row],[Column7]]+Table_1[[#This Row],[Column6]]+Table_1[[#This Row],[Column5]]+Table_1[[#This Row],[Column4]]</f>
        <v>3000</v>
      </c>
      <c r="I1146" s="38">
        <v>240</v>
      </c>
      <c r="J1146" s="34">
        <f>'PACC GENERAL 2026'!$I1146*'PACC GENERAL 2026'!$H1146</f>
        <v>720000</v>
      </c>
      <c r="K1146" s="35"/>
      <c r="L1146" s="31"/>
      <c r="M1146" s="31"/>
      <c r="N1146" s="31"/>
      <c r="O1146" s="32" t="s">
        <v>1101</v>
      </c>
    </row>
    <row r="1147" spans="1:16" s="97" customFormat="1" ht="15.5">
      <c r="A1147" s="31" t="s">
        <v>38</v>
      </c>
      <c r="B1147" s="31" t="s">
        <v>643</v>
      </c>
      <c r="C1147" s="32" t="s">
        <v>94</v>
      </c>
      <c r="D1147" s="142"/>
      <c r="E1147" s="137"/>
      <c r="F1147" s="142">
        <v>175</v>
      </c>
      <c r="G1147" s="167"/>
      <c r="H1147" s="67">
        <f>+Table_1[[#This Row],[Column7]]+Table_1[[#This Row],[Column6]]+Table_1[[#This Row],[Column5]]+Table_1[[#This Row],[Column4]]</f>
        <v>175</v>
      </c>
      <c r="I1147" s="38">
        <v>240</v>
      </c>
      <c r="J1147" s="34">
        <f>'PACC GENERAL 2026'!$I1147*'PACC GENERAL 2026'!$H1147</f>
        <v>42000</v>
      </c>
      <c r="K1147" s="35"/>
      <c r="L1147" s="31"/>
      <c r="M1147" s="31"/>
      <c r="N1147" s="31"/>
      <c r="O1147" s="32" t="s">
        <v>1101</v>
      </c>
    </row>
    <row r="1148" spans="1:16" s="97" customFormat="1" ht="15.5">
      <c r="A1148" s="31" t="s">
        <v>38</v>
      </c>
      <c r="B1148" s="31" t="s">
        <v>644</v>
      </c>
      <c r="C1148" s="32" t="s">
        <v>94</v>
      </c>
      <c r="D1148" s="142"/>
      <c r="E1148" s="137"/>
      <c r="F1148" s="142">
        <v>300</v>
      </c>
      <c r="G1148" s="167"/>
      <c r="H1148" s="67">
        <f>+Table_1[[#This Row],[Column7]]+Table_1[[#This Row],[Column6]]+Table_1[[#This Row],[Column5]]+Table_1[[#This Row],[Column4]]</f>
        <v>300</v>
      </c>
      <c r="I1148" s="38">
        <v>240</v>
      </c>
      <c r="J1148" s="34">
        <f>'PACC GENERAL 2026'!$I1148*'PACC GENERAL 2026'!$H1148</f>
        <v>72000</v>
      </c>
      <c r="K1148" s="35"/>
      <c r="L1148" s="31"/>
      <c r="M1148" s="31"/>
      <c r="N1148" s="31"/>
      <c r="O1148" s="32" t="s">
        <v>1101</v>
      </c>
      <c r="P1148" s="320"/>
    </row>
    <row r="1149" spans="1:16" s="97" customFormat="1" ht="15.5">
      <c r="A1149" s="31" t="s">
        <v>38</v>
      </c>
      <c r="B1149" s="31" t="s">
        <v>279</v>
      </c>
      <c r="C1149" s="32" t="s">
        <v>94</v>
      </c>
      <c r="D1149" s="142"/>
      <c r="E1149" s="137"/>
      <c r="F1149" s="142">
        <v>100</v>
      </c>
      <c r="G1149" s="167"/>
      <c r="H1149" s="67">
        <f>+Table_1[[#This Row],[Column7]]+Table_1[[#This Row],[Column6]]+Table_1[[#This Row],[Column5]]+Table_1[[#This Row],[Column4]]</f>
        <v>100</v>
      </c>
      <c r="I1149" s="38">
        <v>26.9</v>
      </c>
      <c r="J1149" s="34">
        <f>'PACC GENERAL 2026'!$I1149*'PACC GENERAL 2026'!$H1149</f>
        <v>2690</v>
      </c>
      <c r="K1149" s="35"/>
      <c r="L1149" s="31"/>
      <c r="M1149" s="31"/>
      <c r="N1149" s="31"/>
      <c r="O1149" s="32" t="s">
        <v>1101</v>
      </c>
    </row>
    <row r="1150" spans="1:16" s="97" customFormat="1" ht="15.5">
      <c r="A1150" s="31" t="s">
        <v>38</v>
      </c>
      <c r="B1150" s="31" t="s">
        <v>280</v>
      </c>
      <c r="C1150" s="32" t="s">
        <v>94</v>
      </c>
      <c r="D1150" s="142"/>
      <c r="E1150" s="137"/>
      <c r="F1150" s="142">
        <v>500</v>
      </c>
      <c r="G1150" s="167"/>
      <c r="H1150" s="67">
        <f>+Table_1[[#This Row],[Column7]]+Table_1[[#This Row],[Column6]]+Table_1[[#This Row],[Column5]]+Table_1[[#This Row],[Column4]]</f>
        <v>500</v>
      </c>
      <c r="I1150" s="38">
        <v>26.9</v>
      </c>
      <c r="J1150" s="34">
        <f>'PACC GENERAL 2026'!$I1150*'PACC GENERAL 2026'!$H1150</f>
        <v>13450</v>
      </c>
      <c r="K1150" s="35"/>
      <c r="L1150" s="31"/>
      <c r="M1150" s="31"/>
      <c r="N1150" s="32"/>
      <c r="O1150" s="32" t="s">
        <v>1101</v>
      </c>
    </row>
    <row r="1151" spans="1:16" s="97" customFormat="1" ht="15.5">
      <c r="A1151" s="31" t="s">
        <v>38</v>
      </c>
      <c r="B1151" s="31" t="s">
        <v>1154</v>
      </c>
      <c r="C1151" s="32" t="s">
        <v>94</v>
      </c>
      <c r="D1151" s="142">
        <v>200</v>
      </c>
      <c r="E1151" s="137"/>
      <c r="F1151" s="142">
        <v>50</v>
      </c>
      <c r="G1151" s="167"/>
      <c r="H1151" s="67">
        <f>+Table_1[[#This Row],[Column7]]+Table_1[[#This Row],[Column6]]+Table_1[[#This Row],[Column5]]+Table_1[[#This Row],[Column4]]</f>
        <v>250</v>
      </c>
      <c r="I1151" s="38">
        <v>26.9</v>
      </c>
      <c r="J1151" s="34">
        <f>'PACC GENERAL 2026'!$I1151*'PACC GENERAL 2026'!$H1151</f>
        <v>6725</v>
      </c>
      <c r="K1151" s="35"/>
      <c r="L1151" s="31"/>
      <c r="M1151" s="31"/>
      <c r="N1151" s="31"/>
      <c r="O1151" s="32" t="s">
        <v>1101</v>
      </c>
    </row>
    <row r="1152" spans="1:16" s="97" customFormat="1" ht="15.5">
      <c r="A1152" s="174" t="s">
        <v>38</v>
      </c>
      <c r="B1152" s="174" t="s">
        <v>1155</v>
      </c>
      <c r="C1152" s="179" t="s">
        <v>94</v>
      </c>
      <c r="D1152" s="142"/>
      <c r="E1152" s="137"/>
      <c r="F1152" s="142">
        <v>50</v>
      </c>
      <c r="G1152" s="185"/>
      <c r="H1152" s="67">
        <f>+Table_1[[#This Row],[Column7]]+Table_1[[#This Row],[Column6]]+Table_1[[#This Row],[Column5]]+Table_1[[#This Row],[Column4]]</f>
        <v>50</v>
      </c>
      <c r="I1152" s="177">
        <v>26.9</v>
      </c>
      <c r="J1152" s="34">
        <f>'PACC GENERAL 2026'!$I1152*'PACC GENERAL 2026'!$H1152</f>
        <v>1345</v>
      </c>
      <c r="K1152" s="186"/>
      <c r="L1152" s="174"/>
      <c r="M1152" s="174"/>
      <c r="N1152" s="179"/>
      <c r="O1152" s="32" t="s">
        <v>1101</v>
      </c>
    </row>
    <row r="1153" spans="1:16" s="97" customFormat="1" ht="15.5">
      <c r="A1153" s="31" t="s">
        <v>38</v>
      </c>
      <c r="B1153" s="31" t="s">
        <v>645</v>
      </c>
      <c r="C1153" s="32" t="s">
        <v>94</v>
      </c>
      <c r="D1153" s="142">
        <v>350</v>
      </c>
      <c r="E1153" s="137"/>
      <c r="F1153" s="142">
        <v>800</v>
      </c>
      <c r="G1153" s="167"/>
      <c r="H1153" s="67">
        <f>+Table_1[[#This Row],[Column7]]+Table_1[[#This Row],[Column6]]+Table_1[[#This Row],[Column5]]+Table_1[[#This Row],[Column4]]</f>
        <v>1150</v>
      </c>
      <c r="I1153" s="38">
        <v>70</v>
      </c>
      <c r="J1153" s="34">
        <f>'PACC GENERAL 2026'!$I1153*'PACC GENERAL 2026'!$H1153</f>
        <v>80500</v>
      </c>
      <c r="K1153" s="35"/>
      <c r="L1153" s="31"/>
      <c r="M1153" s="31"/>
      <c r="N1153" s="31"/>
      <c r="O1153" s="32" t="s">
        <v>1101</v>
      </c>
    </row>
    <row r="1154" spans="1:16" s="97" customFormat="1" ht="15.5">
      <c r="A1154" s="31" t="s">
        <v>38</v>
      </c>
      <c r="B1154" s="31" t="s">
        <v>281</v>
      </c>
      <c r="C1154" s="32" t="s">
        <v>94</v>
      </c>
      <c r="D1154" s="142"/>
      <c r="E1154" s="137"/>
      <c r="F1154" s="142">
        <v>400</v>
      </c>
      <c r="G1154" s="167"/>
      <c r="H1154" s="67">
        <f>+Table_1[[#This Row],[Column7]]+Table_1[[#This Row],[Column6]]+Table_1[[#This Row],[Column5]]+Table_1[[#This Row],[Column4]]</f>
        <v>400</v>
      </c>
      <c r="I1154" s="38">
        <v>35</v>
      </c>
      <c r="J1154" s="34">
        <f>'PACC GENERAL 2026'!$I1154*'PACC GENERAL 2026'!$H1154</f>
        <v>14000</v>
      </c>
      <c r="K1154" s="35"/>
      <c r="L1154" s="31"/>
      <c r="M1154" s="31"/>
      <c r="N1154" s="31"/>
      <c r="O1154" s="32" t="s">
        <v>1101</v>
      </c>
    </row>
    <row r="1155" spans="1:16" s="97" customFormat="1" ht="15.5">
      <c r="A1155" s="31" t="s">
        <v>38</v>
      </c>
      <c r="B1155" s="31" t="s">
        <v>282</v>
      </c>
      <c r="C1155" s="32" t="s">
        <v>94</v>
      </c>
      <c r="D1155" s="142"/>
      <c r="E1155" s="137"/>
      <c r="F1155" s="137">
        <v>300</v>
      </c>
      <c r="G1155" s="167"/>
      <c r="H1155" s="67">
        <f>+Table_1[[#This Row],[Column7]]+Table_1[[#This Row],[Column6]]+Table_1[[#This Row],[Column5]]+Table_1[[#This Row],[Column4]]</f>
        <v>300</v>
      </c>
      <c r="I1155" s="38">
        <v>33</v>
      </c>
      <c r="J1155" s="34">
        <f>'PACC GENERAL 2026'!$I1155*'PACC GENERAL 2026'!$H1155</f>
        <v>9900</v>
      </c>
      <c r="K1155" s="35"/>
      <c r="L1155" s="31"/>
      <c r="M1155" s="31"/>
      <c r="N1155" s="31"/>
      <c r="O1155" s="32" t="s">
        <v>1101</v>
      </c>
    </row>
    <row r="1156" spans="1:16" s="97" customFormat="1" ht="15.5">
      <c r="A1156" s="31" t="s">
        <v>38</v>
      </c>
      <c r="B1156" s="31" t="s">
        <v>283</v>
      </c>
      <c r="C1156" s="32" t="s">
        <v>94</v>
      </c>
      <c r="D1156" s="142"/>
      <c r="E1156" s="137"/>
      <c r="F1156" s="137">
        <v>200</v>
      </c>
      <c r="G1156" s="167"/>
      <c r="H1156" s="67">
        <f>+Table_1[[#This Row],[Column7]]+Table_1[[#This Row],[Column6]]+Table_1[[#This Row],[Column5]]+Table_1[[#This Row],[Column4]]</f>
        <v>200</v>
      </c>
      <c r="I1156" s="38">
        <v>30</v>
      </c>
      <c r="J1156" s="34">
        <f>'PACC GENERAL 2026'!$I1156*'PACC GENERAL 2026'!$H1156</f>
        <v>6000</v>
      </c>
      <c r="K1156" s="35"/>
      <c r="L1156" s="31"/>
      <c r="M1156" s="31"/>
      <c r="N1156" s="31"/>
      <c r="O1156" s="32" t="s">
        <v>1101</v>
      </c>
    </row>
    <row r="1157" spans="1:16" s="97" customFormat="1" ht="15.5">
      <c r="A1157" s="31" t="s">
        <v>38</v>
      </c>
      <c r="B1157" s="31" t="s">
        <v>284</v>
      </c>
      <c r="C1157" s="32" t="s">
        <v>94</v>
      </c>
      <c r="D1157" s="142"/>
      <c r="E1157" s="137"/>
      <c r="F1157" s="137">
        <v>100</v>
      </c>
      <c r="G1157" s="167"/>
      <c r="H1157" s="67">
        <f>+Table_1[[#This Row],[Column7]]+Table_1[[#This Row],[Column6]]+Table_1[[#This Row],[Column5]]+Table_1[[#This Row],[Column4]]</f>
        <v>100</v>
      </c>
      <c r="I1157" s="38">
        <v>26</v>
      </c>
      <c r="J1157" s="34">
        <f>'PACC GENERAL 2026'!$I1157*'PACC GENERAL 2026'!$H1157</f>
        <v>2600</v>
      </c>
      <c r="K1157" s="35"/>
      <c r="L1157" s="31"/>
      <c r="M1157" s="31"/>
      <c r="N1157" s="31"/>
      <c r="O1157" s="32" t="s">
        <v>1101</v>
      </c>
      <c r="P1157" s="320"/>
    </row>
    <row r="1158" spans="1:16" s="97" customFormat="1" ht="15.5">
      <c r="A1158" s="31" t="s">
        <v>38</v>
      </c>
      <c r="B1158" s="31" t="s">
        <v>285</v>
      </c>
      <c r="C1158" s="32" t="s">
        <v>94</v>
      </c>
      <c r="D1158" s="142">
        <v>800</v>
      </c>
      <c r="E1158" s="137"/>
      <c r="F1158" s="142">
        <v>700</v>
      </c>
      <c r="G1158" s="167"/>
      <c r="H1158" s="67">
        <f>+Table_1[[#This Row],[Column7]]+Table_1[[#This Row],[Column6]]+Table_1[[#This Row],[Column5]]+Table_1[[#This Row],[Column4]]</f>
        <v>1500</v>
      </c>
      <c r="I1158" s="38">
        <v>30</v>
      </c>
      <c r="J1158" s="34">
        <f>'PACC GENERAL 2026'!$I1158*'PACC GENERAL 2026'!$H1158</f>
        <v>45000</v>
      </c>
      <c r="K1158" s="35"/>
      <c r="L1158" s="31"/>
      <c r="M1158" s="31"/>
      <c r="N1158" s="31"/>
      <c r="O1158" s="32" t="s">
        <v>1101</v>
      </c>
    </row>
    <row r="1159" spans="1:16" s="97" customFormat="1" ht="15.5">
      <c r="A1159" s="31" t="s">
        <v>38</v>
      </c>
      <c r="B1159" s="31" t="s">
        <v>286</v>
      </c>
      <c r="C1159" s="32" t="s">
        <v>94</v>
      </c>
      <c r="D1159" s="142">
        <v>1500</v>
      </c>
      <c r="E1159" s="137"/>
      <c r="F1159" s="142">
        <v>1000</v>
      </c>
      <c r="G1159" s="167"/>
      <c r="H1159" s="67">
        <f>+Table_1[[#This Row],[Column7]]+Table_1[[#This Row],[Column6]]+Table_1[[#This Row],[Column5]]+Table_1[[#This Row],[Column4]]</f>
        <v>2500</v>
      </c>
      <c r="I1159" s="38">
        <v>25</v>
      </c>
      <c r="J1159" s="34">
        <f>'PACC GENERAL 2026'!$I1159*'PACC GENERAL 2026'!$H1159</f>
        <v>62500</v>
      </c>
      <c r="K1159" s="35"/>
      <c r="L1159" s="31"/>
      <c r="M1159" s="31"/>
      <c r="N1159" s="31"/>
      <c r="O1159" s="32" t="s">
        <v>1101</v>
      </c>
    </row>
    <row r="1160" spans="1:16" s="97" customFormat="1" ht="15.5">
      <c r="A1160" s="31" t="s">
        <v>38</v>
      </c>
      <c r="B1160" s="31" t="s">
        <v>287</v>
      </c>
      <c r="C1160" s="32" t="s">
        <v>94</v>
      </c>
      <c r="D1160" s="142">
        <v>800</v>
      </c>
      <c r="E1160" s="137"/>
      <c r="F1160" s="142">
        <v>600</v>
      </c>
      <c r="G1160" s="167"/>
      <c r="H1160" s="67">
        <f>+Table_1[[#This Row],[Column7]]+Table_1[[#This Row],[Column6]]+Table_1[[#This Row],[Column5]]+Table_1[[#This Row],[Column4]]</f>
        <v>1400</v>
      </c>
      <c r="I1160" s="38">
        <v>27</v>
      </c>
      <c r="J1160" s="34">
        <f>'PACC GENERAL 2026'!$I1160*'PACC GENERAL 2026'!$H1160</f>
        <v>37800</v>
      </c>
      <c r="K1160" s="35"/>
      <c r="L1160" s="31"/>
      <c r="M1160" s="31"/>
      <c r="N1160" s="31"/>
      <c r="O1160" s="32" t="s">
        <v>1101</v>
      </c>
    </row>
    <row r="1161" spans="1:16" s="97" customFormat="1" ht="15.5">
      <c r="A1161" s="31" t="s">
        <v>38</v>
      </c>
      <c r="B1161" s="31" t="s">
        <v>288</v>
      </c>
      <c r="C1161" s="32" t="s">
        <v>94</v>
      </c>
      <c r="D1161" s="142">
        <v>500</v>
      </c>
      <c r="E1161" s="137"/>
      <c r="F1161" s="142">
        <v>400</v>
      </c>
      <c r="G1161" s="167"/>
      <c r="H1161" s="67">
        <f>+Table_1[[#This Row],[Column7]]+Table_1[[#This Row],[Column6]]+Table_1[[#This Row],[Column5]]+Table_1[[#This Row],[Column4]]</f>
        <v>900</v>
      </c>
      <c r="I1161" s="38">
        <v>25</v>
      </c>
      <c r="J1161" s="34">
        <f>'PACC GENERAL 2026'!$I1161*'PACC GENERAL 2026'!$H1161</f>
        <v>22500</v>
      </c>
      <c r="K1161" s="35"/>
      <c r="L1161" s="31"/>
      <c r="M1161" s="31"/>
      <c r="N1161" s="31"/>
      <c r="O1161" s="32" t="s">
        <v>1101</v>
      </c>
    </row>
    <row r="1162" spans="1:16" s="97" customFormat="1" ht="15.5">
      <c r="A1162" s="31" t="s">
        <v>38</v>
      </c>
      <c r="B1162" s="31" t="s">
        <v>1156</v>
      </c>
      <c r="C1162" s="32" t="s">
        <v>94</v>
      </c>
      <c r="D1162" s="142"/>
      <c r="E1162" s="137"/>
      <c r="F1162" s="142">
        <v>100</v>
      </c>
      <c r="G1162" s="167"/>
      <c r="H1162" s="67">
        <f>+Table_1[[#This Row],[Column7]]+Table_1[[#This Row],[Column6]]+Table_1[[#This Row],[Column5]]+Table_1[[#This Row],[Column4]]</f>
        <v>100</v>
      </c>
      <c r="I1162" s="38">
        <v>150</v>
      </c>
      <c r="J1162" s="34">
        <f>'PACC GENERAL 2026'!$I1162*'PACC GENERAL 2026'!$H1162</f>
        <v>15000</v>
      </c>
      <c r="K1162" s="35"/>
      <c r="L1162" s="31"/>
      <c r="M1162" s="31"/>
      <c r="N1162" s="31"/>
      <c r="O1162" s="32" t="s">
        <v>1101</v>
      </c>
    </row>
    <row r="1163" spans="1:16" s="97" customFormat="1" ht="15.5">
      <c r="A1163" s="48" t="s">
        <v>38</v>
      </c>
      <c r="B1163" s="48" t="s">
        <v>1157</v>
      </c>
      <c r="C1163" s="63" t="s">
        <v>94</v>
      </c>
      <c r="D1163" s="142"/>
      <c r="E1163" s="137"/>
      <c r="F1163" s="142">
        <v>200</v>
      </c>
      <c r="G1163" s="168"/>
      <c r="H1163" s="67">
        <f>+Table_1[[#This Row],[Column7]]+Table_1[[#This Row],[Column6]]+Table_1[[#This Row],[Column5]]+Table_1[[#This Row],[Column4]]</f>
        <v>200</v>
      </c>
      <c r="I1163" s="77">
        <v>200</v>
      </c>
      <c r="J1163" s="34">
        <f>'PACC GENERAL 2026'!$I1163*'PACC GENERAL 2026'!$H1163</f>
        <v>40000</v>
      </c>
      <c r="K1163" s="35"/>
      <c r="L1163" s="31"/>
      <c r="M1163" s="31"/>
      <c r="N1163" s="31"/>
      <c r="O1163" s="32" t="s">
        <v>1101</v>
      </c>
    </row>
    <row r="1164" spans="1:16" s="97" customFormat="1" ht="15.5">
      <c r="A1164" s="174" t="s">
        <v>38</v>
      </c>
      <c r="B1164" s="174" t="s">
        <v>1158</v>
      </c>
      <c r="C1164" s="179" t="s">
        <v>94</v>
      </c>
      <c r="D1164" s="142"/>
      <c r="E1164" s="137"/>
      <c r="F1164" s="142">
        <v>50</v>
      </c>
      <c r="G1164" s="185"/>
      <c r="H1164" s="67">
        <f>+Table_1[[#This Row],[Column7]]+Table_1[[#This Row],[Column6]]+Table_1[[#This Row],[Column5]]+Table_1[[#This Row],[Column4]]</f>
        <v>50</v>
      </c>
      <c r="I1164" s="177">
        <v>200</v>
      </c>
      <c r="J1164" s="34">
        <f>'PACC GENERAL 2026'!$I1164*'PACC GENERAL 2026'!$H1164</f>
        <v>10000</v>
      </c>
      <c r="K1164" s="186"/>
      <c r="L1164" s="174"/>
      <c r="M1164" s="174"/>
      <c r="N1164" s="179"/>
      <c r="O1164" s="32" t="s">
        <v>1101</v>
      </c>
    </row>
    <row r="1165" spans="1:16" s="97" customFormat="1" ht="15.5">
      <c r="A1165" s="31" t="s">
        <v>38</v>
      </c>
      <c r="B1165" s="31" t="s">
        <v>1159</v>
      </c>
      <c r="C1165" s="32" t="s">
        <v>94</v>
      </c>
      <c r="D1165" s="142"/>
      <c r="E1165" s="137"/>
      <c r="F1165" s="142">
        <v>25</v>
      </c>
      <c r="G1165" s="167"/>
      <c r="H1165" s="67">
        <f>+Table_1[[#This Row],[Column7]]+Table_1[[#This Row],[Column6]]+Table_1[[#This Row],[Column5]]+Table_1[[#This Row],[Column4]]</f>
        <v>25</v>
      </c>
      <c r="I1165" s="38">
        <v>500</v>
      </c>
      <c r="J1165" s="34">
        <f>'PACC GENERAL 2026'!$I1165*'PACC GENERAL 2026'!$H1165</f>
        <v>12500</v>
      </c>
      <c r="K1165" s="35"/>
      <c r="L1165" s="31"/>
      <c r="M1165" s="31"/>
      <c r="N1165" s="31"/>
      <c r="O1165" s="32" t="s">
        <v>1101</v>
      </c>
    </row>
    <row r="1166" spans="1:16" s="97" customFormat="1" ht="15.5">
      <c r="A1166" s="31" t="s">
        <v>38</v>
      </c>
      <c r="B1166" s="31" t="s">
        <v>289</v>
      </c>
      <c r="C1166" s="32" t="s">
        <v>94</v>
      </c>
      <c r="D1166" s="142">
        <v>500</v>
      </c>
      <c r="E1166" s="137"/>
      <c r="F1166" s="142">
        <v>600</v>
      </c>
      <c r="G1166" s="167"/>
      <c r="H1166" s="67">
        <f>+Table_1[[#This Row],[Column7]]+Table_1[[#This Row],[Column6]]+Table_1[[#This Row],[Column5]]+Table_1[[#This Row],[Column4]]</f>
        <v>1100</v>
      </c>
      <c r="I1166" s="38">
        <v>25</v>
      </c>
      <c r="J1166" s="34">
        <f>'PACC GENERAL 2026'!$I1166*'PACC GENERAL 2026'!$H1166</f>
        <v>27500</v>
      </c>
      <c r="K1166" s="35"/>
      <c r="L1166" s="31"/>
      <c r="M1166" s="31"/>
      <c r="N1166" s="31"/>
      <c r="O1166" s="32" t="s">
        <v>1101</v>
      </c>
    </row>
    <row r="1167" spans="1:16" s="97" customFormat="1" ht="15.5">
      <c r="A1167" s="31" t="s">
        <v>38</v>
      </c>
      <c r="B1167" s="31" t="s">
        <v>291</v>
      </c>
      <c r="C1167" s="32" t="s">
        <v>94</v>
      </c>
      <c r="D1167" s="142">
        <v>200</v>
      </c>
      <c r="E1167" s="137"/>
      <c r="F1167" s="142">
        <v>500</v>
      </c>
      <c r="G1167" s="167"/>
      <c r="H1167" s="67">
        <f>+Table_1[[#This Row],[Column7]]+Table_1[[#This Row],[Column6]]+Table_1[[#This Row],[Column5]]+Table_1[[#This Row],[Column4]]</f>
        <v>700</v>
      </c>
      <c r="I1167" s="38">
        <v>35</v>
      </c>
      <c r="J1167" s="34">
        <f>'PACC GENERAL 2026'!$I1167*'PACC GENERAL 2026'!$H1167</f>
        <v>24500</v>
      </c>
      <c r="K1167" s="35"/>
      <c r="L1167" s="31"/>
      <c r="M1167" s="31"/>
      <c r="N1167" s="31"/>
      <c r="O1167" s="32" t="s">
        <v>1101</v>
      </c>
    </row>
    <row r="1168" spans="1:16" s="97" customFormat="1" ht="15.5">
      <c r="A1168" s="31" t="s">
        <v>38</v>
      </c>
      <c r="B1168" s="31" t="s">
        <v>1160</v>
      </c>
      <c r="C1168" s="32" t="s">
        <v>94</v>
      </c>
      <c r="D1168" s="142"/>
      <c r="E1168" s="137"/>
      <c r="F1168" s="142">
        <v>450</v>
      </c>
      <c r="G1168" s="167"/>
      <c r="H1168" s="67">
        <f>+Table_1[[#This Row],[Column7]]+Table_1[[#This Row],[Column6]]+Table_1[[#This Row],[Column5]]+Table_1[[#This Row],[Column4]]</f>
        <v>450</v>
      </c>
      <c r="I1168" s="38">
        <v>145</v>
      </c>
      <c r="J1168" s="34">
        <f>'PACC GENERAL 2026'!$I1168*'PACC GENERAL 2026'!$H1168</f>
        <v>65250</v>
      </c>
      <c r="K1168" s="35"/>
      <c r="L1168" s="31"/>
      <c r="M1168" s="31"/>
      <c r="N1168" s="32"/>
      <c r="O1168" s="32" t="s">
        <v>1101</v>
      </c>
    </row>
    <row r="1169" spans="1:15" s="97" customFormat="1" ht="15.5">
      <c r="A1169" s="31" t="s">
        <v>38</v>
      </c>
      <c r="B1169" s="31" t="s">
        <v>646</v>
      </c>
      <c r="C1169" s="32" t="s">
        <v>94</v>
      </c>
      <c r="D1169" s="142">
        <v>100</v>
      </c>
      <c r="E1169" s="137"/>
      <c r="F1169" s="142">
        <v>250</v>
      </c>
      <c r="G1169" s="167"/>
      <c r="H1169" s="67">
        <f>+Table_1[[#This Row],[Column7]]+Table_1[[#This Row],[Column6]]+Table_1[[#This Row],[Column5]]+Table_1[[#This Row],[Column4]]</f>
        <v>350</v>
      </c>
      <c r="I1169" s="38">
        <v>420</v>
      </c>
      <c r="J1169" s="34">
        <f>'PACC GENERAL 2026'!$I1169*'PACC GENERAL 2026'!$H1169</f>
        <v>147000</v>
      </c>
      <c r="K1169" s="35"/>
      <c r="L1169" s="31"/>
      <c r="M1169" s="31"/>
      <c r="N1169" s="32"/>
      <c r="O1169" s="32" t="s">
        <v>1101</v>
      </c>
    </row>
    <row r="1170" spans="1:15" s="97" customFormat="1" ht="15.5">
      <c r="A1170" s="48" t="s">
        <v>38</v>
      </c>
      <c r="B1170" s="48" t="s">
        <v>1161</v>
      </c>
      <c r="C1170" s="32" t="s">
        <v>94</v>
      </c>
      <c r="D1170" s="142">
        <v>600</v>
      </c>
      <c r="E1170" s="137"/>
      <c r="F1170" s="142">
        <v>500</v>
      </c>
      <c r="G1170" s="168"/>
      <c r="H1170" s="67">
        <f>+Table_1[[#This Row],[Column7]]+Table_1[[#This Row],[Column6]]+Table_1[[#This Row],[Column5]]+Table_1[[#This Row],[Column4]]</f>
        <v>1100</v>
      </c>
      <c r="I1170" s="77">
        <v>75</v>
      </c>
      <c r="J1170" s="34">
        <f>'PACC GENERAL 2026'!$I1170*'PACC GENERAL 2026'!$H1170</f>
        <v>82500</v>
      </c>
      <c r="K1170" s="35"/>
      <c r="L1170" s="31"/>
      <c r="M1170" s="31"/>
      <c r="N1170" s="32"/>
      <c r="O1170" s="32" t="s">
        <v>1101</v>
      </c>
    </row>
    <row r="1171" spans="1:15" s="97" customFormat="1" ht="15.5">
      <c r="A1171" s="31" t="s">
        <v>38</v>
      </c>
      <c r="B1171" s="31" t="s">
        <v>1162</v>
      </c>
      <c r="C1171" s="32" t="s">
        <v>94</v>
      </c>
      <c r="D1171" s="142"/>
      <c r="E1171" s="137"/>
      <c r="F1171" s="142">
        <v>100</v>
      </c>
      <c r="G1171" s="167"/>
      <c r="H1171" s="67">
        <f>+Table_1[[#This Row],[Column7]]+Table_1[[#This Row],[Column6]]+Table_1[[#This Row],[Column5]]+Table_1[[#This Row],[Column4]]</f>
        <v>100</v>
      </c>
      <c r="I1171" s="38">
        <v>200</v>
      </c>
      <c r="J1171" s="34">
        <f>'PACC GENERAL 2026'!$I1171*'PACC GENERAL 2026'!$H1171</f>
        <v>20000</v>
      </c>
      <c r="K1171" s="35"/>
      <c r="L1171" s="31"/>
      <c r="M1171" s="31"/>
      <c r="N1171" s="32"/>
      <c r="O1171" s="32" t="s">
        <v>1101</v>
      </c>
    </row>
    <row r="1172" spans="1:15" s="97" customFormat="1" ht="15.5">
      <c r="A1172" s="31" t="s">
        <v>38</v>
      </c>
      <c r="B1172" s="31" t="s">
        <v>1163</v>
      </c>
      <c r="C1172" s="32" t="s">
        <v>94</v>
      </c>
      <c r="D1172" s="142">
        <v>200</v>
      </c>
      <c r="E1172" s="137"/>
      <c r="F1172" s="142">
        <v>200</v>
      </c>
      <c r="G1172" s="167"/>
      <c r="H1172" s="67">
        <f>+Table_1[[#This Row],[Column7]]+Table_1[[#This Row],[Column6]]+Table_1[[#This Row],[Column5]]+Table_1[[#This Row],[Column4]]</f>
        <v>400</v>
      </c>
      <c r="I1172" s="38">
        <v>175</v>
      </c>
      <c r="J1172" s="34">
        <f>'PACC GENERAL 2026'!$I1172*'PACC GENERAL 2026'!$H1172</f>
        <v>70000</v>
      </c>
      <c r="K1172" s="35"/>
      <c r="L1172" s="31"/>
      <c r="M1172" s="31"/>
      <c r="N1172" s="31"/>
      <c r="O1172" s="32" t="s">
        <v>1101</v>
      </c>
    </row>
    <row r="1173" spans="1:15" s="97" customFormat="1" ht="15.5">
      <c r="A1173" s="31" t="s">
        <v>38</v>
      </c>
      <c r="B1173" s="31" t="s">
        <v>1164</v>
      </c>
      <c r="C1173" s="32" t="s">
        <v>98</v>
      </c>
      <c r="D1173" s="142"/>
      <c r="E1173" s="137"/>
      <c r="F1173" s="142">
        <v>200</v>
      </c>
      <c r="G1173" s="167"/>
      <c r="H1173" s="67">
        <f>+Table_1[[#This Row],[Column7]]+Table_1[[#This Row],[Column6]]+Table_1[[#This Row],[Column5]]+Table_1[[#This Row],[Column4]]</f>
        <v>200</v>
      </c>
      <c r="I1173" s="38">
        <v>11</v>
      </c>
      <c r="J1173" s="34">
        <f>'PACC GENERAL 2026'!$I1173*'PACC GENERAL 2026'!$H1173</f>
        <v>2200</v>
      </c>
      <c r="K1173" s="35"/>
      <c r="L1173" s="31"/>
      <c r="M1173" s="31"/>
      <c r="N1173" s="31"/>
      <c r="O1173" s="32" t="s">
        <v>1101</v>
      </c>
    </row>
    <row r="1174" spans="1:15" s="97" customFormat="1" ht="15.5">
      <c r="A1174" s="31" t="s">
        <v>38</v>
      </c>
      <c r="B1174" s="31" t="s">
        <v>292</v>
      </c>
      <c r="C1174" s="32" t="s">
        <v>94</v>
      </c>
      <c r="D1174" s="142">
        <v>100</v>
      </c>
      <c r="E1174" s="137"/>
      <c r="F1174" s="142">
        <v>200</v>
      </c>
      <c r="G1174" s="167"/>
      <c r="H1174" s="67">
        <f>+Table_1[[#This Row],[Column7]]+Table_1[[#This Row],[Column6]]+Table_1[[#This Row],[Column5]]+Table_1[[#This Row],[Column4]]</f>
        <v>300</v>
      </c>
      <c r="I1174" s="38">
        <v>47.31</v>
      </c>
      <c r="J1174" s="34">
        <f>'PACC GENERAL 2026'!$I1174*'PACC GENERAL 2026'!$H1174</f>
        <v>14193</v>
      </c>
      <c r="K1174" s="35"/>
      <c r="L1174" s="31"/>
      <c r="M1174" s="31"/>
      <c r="N1174" s="31"/>
      <c r="O1174" s="32" t="s">
        <v>1101</v>
      </c>
    </row>
    <row r="1175" spans="1:15" s="97" customFormat="1" ht="15.5">
      <c r="A1175" s="31" t="s">
        <v>38</v>
      </c>
      <c r="B1175" s="31" t="s">
        <v>293</v>
      </c>
      <c r="C1175" s="32" t="s">
        <v>94</v>
      </c>
      <c r="D1175" s="142">
        <v>100</v>
      </c>
      <c r="E1175" s="137"/>
      <c r="F1175" s="142">
        <v>200</v>
      </c>
      <c r="G1175" s="167"/>
      <c r="H1175" s="67">
        <f>+Table_1[[#This Row],[Column7]]+Table_1[[#This Row],[Column6]]+Table_1[[#This Row],[Column5]]+Table_1[[#This Row],[Column4]]</f>
        <v>300</v>
      </c>
      <c r="I1175" s="38">
        <v>75</v>
      </c>
      <c r="J1175" s="34">
        <f>'PACC GENERAL 2026'!$I1175*'PACC GENERAL 2026'!$H1175</f>
        <v>22500</v>
      </c>
      <c r="K1175" s="35"/>
      <c r="L1175" s="31"/>
      <c r="M1175" s="31"/>
      <c r="N1175" s="31"/>
      <c r="O1175" s="32" t="s">
        <v>1101</v>
      </c>
    </row>
    <row r="1176" spans="1:15" s="97" customFormat="1" ht="15.5">
      <c r="A1176" s="31" t="s">
        <v>38</v>
      </c>
      <c r="B1176" s="31" t="s">
        <v>1165</v>
      </c>
      <c r="C1176" s="32" t="s">
        <v>94</v>
      </c>
      <c r="D1176" s="142"/>
      <c r="E1176" s="137"/>
      <c r="F1176" s="142">
        <v>250</v>
      </c>
      <c r="G1176" s="167"/>
      <c r="H1176" s="67">
        <f>+Table_1[[#This Row],[Column7]]+Table_1[[#This Row],[Column6]]+Table_1[[#This Row],[Column5]]+Table_1[[#This Row],[Column4]]</f>
        <v>250</v>
      </c>
      <c r="I1176" s="38">
        <v>500</v>
      </c>
      <c r="J1176" s="34">
        <f>'PACC GENERAL 2026'!$I1176*'PACC GENERAL 2026'!$H1176</f>
        <v>125000</v>
      </c>
      <c r="K1176" s="35"/>
      <c r="L1176" s="31"/>
      <c r="M1176" s="31"/>
      <c r="N1176" s="31"/>
      <c r="O1176" s="32" t="s">
        <v>1101</v>
      </c>
    </row>
    <row r="1177" spans="1:15" s="97" customFormat="1" ht="15.5">
      <c r="A1177" s="174" t="s">
        <v>38</v>
      </c>
      <c r="B1177" s="31" t="s">
        <v>1166</v>
      </c>
      <c r="C1177" s="32" t="s">
        <v>94</v>
      </c>
      <c r="D1177" s="142"/>
      <c r="E1177" s="137"/>
      <c r="F1177" s="142">
        <v>250</v>
      </c>
      <c r="G1177" s="167"/>
      <c r="H1177" s="67">
        <f>+Table_1[[#This Row],[Column7]]+Table_1[[#This Row],[Column6]]+Table_1[[#This Row],[Column5]]+Table_1[[#This Row],[Column4]]</f>
        <v>250</v>
      </c>
      <c r="I1177" s="38">
        <v>350</v>
      </c>
      <c r="J1177" s="34">
        <f>'PACC GENERAL 2026'!$I1177*'PACC GENERAL 2026'!$H1177</f>
        <v>87500</v>
      </c>
      <c r="K1177" s="186"/>
      <c r="L1177" s="174"/>
      <c r="M1177" s="174"/>
      <c r="N1177" s="174"/>
      <c r="O1177" s="32" t="s">
        <v>1101</v>
      </c>
    </row>
    <row r="1178" spans="1:15" s="97" customFormat="1" ht="15.5">
      <c r="A1178" s="31" t="s">
        <v>38</v>
      </c>
      <c r="B1178" s="31" t="s">
        <v>294</v>
      </c>
      <c r="C1178" s="32" t="s">
        <v>94</v>
      </c>
      <c r="D1178" s="142"/>
      <c r="E1178" s="137"/>
      <c r="F1178" s="142">
        <v>200</v>
      </c>
      <c r="G1178" s="167"/>
      <c r="H1178" s="67">
        <f>+Table_1[[#This Row],[Column7]]+Table_1[[#This Row],[Column6]]+Table_1[[#This Row],[Column5]]+Table_1[[#This Row],[Column4]]</f>
        <v>200</v>
      </c>
      <c r="I1178" s="38">
        <v>255</v>
      </c>
      <c r="J1178" s="34">
        <f>'PACC GENERAL 2026'!$I1178*'PACC GENERAL 2026'!$H1178</f>
        <v>51000</v>
      </c>
      <c r="K1178" s="35"/>
      <c r="L1178" s="31"/>
      <c r="M1178" s="31"/>
      <c r="N1178" s="31"/>
      <c r="O1178" s="32" t="s">
        <v>1101</v>
      </c>
    </row>
    <row r="1179" spans="1:15" s="97" customFormat="1" ht="15.5">
      <c r="A1179" s="31" t="s">
        <v>38</v>
      </c>
      <c r="B1179" s="31" t="s">
        <v>1167</v>
      </c>
      <c r="C1179" s="32" t="s">
        <v>94</v>
      </c>
      <c r="D1179" s="142"/>
      <c r="E1179" s="137"/>
      <c r="F1179" s="142">
        <v>100</v>
      </c>
      <c r="G1179" s="167"/>
      <c r="H1179" s="67">
        <f>+Table_1[[#This Row],[Column7]]+Table_1[[#This Row],[Column6]]+Table_1[[#This Row],[Column5]]+Table_1[[#This Row],[Column4]]</f>
        <v>100</v>
      </c>
      <c r="I1179" s="38">
        <v>250</v>
      </c>
      <c r="J1179" s="34">
        <f>'PACC GENERAL 2026'!$I1179*'PACC GENERAL 2026'!$H1179</f>
        <v>25000</v>
      </c>
      <c r="K1179" s="35"/>
      <c r="L1179" s="31"/>
      <c r="M1179" s="31"/>
      <c r="N1179" s="32"/>
      <c r="O1179" s="32" t="s">
        <v>1101</v>
      </c>
    </row>
    <row r="1180" spans="1:15" s="97" customFormat="1" ht="15.5">
      <c r="A1180" s="48" t="s">
        <v>38</v>
      </c>
      <c r="B1180" s="48" t="s">
        <v>295</v>
      </c>
      <c r="C1180" s="32" t="s">
        <v>94</v>
      </c>
      <c r="D1180" s="142"/>
      <c r="E1180" s="137"/>
      <c r="F1180" s="142">
        <v>100</v>
      </c>
      <c r="G1180" s="168"/>
      <c r="H1180" s="67">
        <f>+Table_1[[#This Row],[Column7]]+Table_1[[#This Row],[Column6]]+Table_1[[#This Row],[Column5]]+Table_1[[#This Row],[Column4]]</f>
        <v>100</v>
      </c>
      <c r="I1180" s="77">
        <v>188</v>
      </c>
      <c r="J1180" s="34">
        <f>'PACC GENERAL 2026'!$I1180*'PACC GENERAL 2026'!$H1180</f>
        <v>18800</v>
      </c>
      <c r="K1180" s="35"/>
      <c r="L1180" s="31"/>
      <c r="M1180" s="31"/>
      <c r="N1180" s="31"/>
      <c r="O1180" s="32" t="s">
        <v>1101</v>
      </c>
    </row>
    <row r="1181" spans="1:15" s="97" customFormat="1" ht="15.5">
      <c r="A1181" s="31" t="s">
        <v>38</v>
      </c>
      <c r="B1181" s="31" t="s">
        <v>296</v>
      </c>
      <c r="C1181" s="32" t="s">
        <v>94</v>
      </c>
      <c r="D1181" s="142">
        <v>100</v>
      </c>
      <c r="E1181" s="137"/>
      <c r="F1181" s="142">
        <v>110</v>
      </c>
      <c r="G1181" s="167"/>
      <c r="H1181" s="67">
        <f>+Table_1[[#This Row],[Column7]]+Table_1[[#This Row],[Column6]]+Table_1[[#This Row],[Column5]]+Table_1[[#This Row],[Column4]]</f>
        <v>210</v>
      </c>
      <c r="I1181" s="38">
        <v>1069.3800000000001</v>
      </c>
      <c r="J1181" s="34">
        <f>'PACC GENERAL 2026'!$I1181*'PACC GENERAL 2026'!$H1181</f>
        <v>224569.80000000002</v>
      </c>
      <c r="K1181" s="35"/>
      <c r="L1181" s="31"/>
      <c r="M1181" s="31"/>
      <c r="N1181" s="31"/>
      <c r="O1181" s="32" t="s">
        <v>1101</v>
      </c>
    </row>
    <row r="1182" spans="1:15" s="97" customFormat="1" ht="15.5">
      <c r="A1182" s="31" t="s">
        <v>38</v>
      </c>
      <c r="B1182" s="31" t="s">
        <v>297</v>
      </c>
      <c r="C1182" s="32" t="s">
        <v>94</v>
      </c>
      <c r="D1182" s="142"/>
      <c r="E1182" s="137"/>
      <c r="F1182" s="142">
        <v>100</v>
      </c>
      <c r="G1182" s="167"/>
      <c r="H1182" s="67">
        <f>+Table_1[[#This Row],[Column7]]+Table_1[[#This Row],[Column6]]+Table_1[[#This Row],[Column5]]+Table_1[[#This Row],[Column4]]</f>
        <v>100</v>
      </c>
      <c r="I1182" s="38">
        <v>46</v>
      </c>
      <c r="J1182" s="34">
        <f>'PACC GENERAL 2026'!$I1182*'PACC GENERAL 2026'!$H1182</f>
        <v>4600</v>
      </c>
      <c r="K1182" s="35"/>
      <c r="L1182" s="31"/>
      <c r="M1182" s="31"/>
      <c r="N1182" s="32"/>
      <c r="O1182" s="32" t="s">
        <v>1101</v>
      </c>
    </row>
    <row r="1183" spans="1:15" s="97" customFormat="1" ht="15.5">
      <c r="A1183" s="31" t="s">
        <v>38</v>
      </c>
      <c r="B1183" s="48" t="s">
        <v>298</v>
      </c>
      <c r="C1183" s="32" t="s">
        <v>94</v>
      </c>
      <c r="D1183" s="142"/>
      <c r="E1183" s="137"/>
      <c r="F1183" s="137">
        <v>800</v>
      </c>
      <c r="G1183" s="168"/>
      <c r="H1183" s="67">
        <f>+Table_1[[#This Row],[Column7]]+Table_1[[#This Row],[Column6]]+Table_1[[#This Row],[Column5]]+Table_1[[#This Row],[Column4]]</f>
        <v>800</v>
      </c>
      <c r="I1183" s="77">
        <v>45</v>
      </c>
      <c r="J1183" s="34">
        <f>'PACC GENERAL 2026'!$I1183*'PACC GENERAL 2026'!$H1183</f>
        <v>36000</v>
      </c>
      <c r="K1183" s="35"/>
      <c r="L1183" s="31"/>
      <c r="M1183" s="31"/>
      <c r="N1183" s="31"/>
      <c r="O1183" s="32" t="s">
        <v>1101</v>
      </c>
    </row>
    <row r="1184" spans="1:15" s="97" customFormat="1" ht="15.5">
      <c r="A1184" s="31" t="s">
        <v>38</v>
      </c>
      <c r="B1184" s="31" t="s">
        <v>299</v>
      </c>
      <c r="C1184" s="32" t="s">
        <v>94</v>
      </c>
      <c r="D1184" s="142"/>
      <c r="E1184" s="137"/>
      <c r="F1184" s="137">
        <v>700</v>
      </c>
      <c r="G1184" s="167"/>
      <c r="H1184" s="67">
        <f>+Table_1[[#This Row],[Column7]]+Table_1[[#This Row],[Column6]]+Table_1[[#This Row],[Column5]]+Table_1[[#This Row],[Column4]]</f>
        <v>700</v>
      </c>
      <c r="I1184" s="38">
        <v>20</v>
      </c>
      <c r="J1184" s="34">
        <f>'PACC GENERAL 2026'!$I1184*'PACC GENERAL 2026'!$H1184</f>
        <v>14000</v>
      </c>
      <c r="K1184" s="35"/>
      <c r="L1184" s="31"/>
      <c r="M1184" s="31"/>
      <c r="N1184" s="31"/>
      <c r="O1184" s="32" t="s">
        <v>1101</v>
      </c>
    </row>
    <row r="1185" spans="1:16" s="97" customFormat="1" ht="15.5">
      <c r="A1185" s="31" t="s">
        <v>38</v>
      </c>
      <c r="B1185" s="31" t="s">
        <v>647</v>
      </c>
      <c r="C1185" s="32" t="s">
        <v>94</v>
      </c>
      <c r="D1185" s="142"/>
      <c r="E1185" s="137"/>
      <c r="F1185" s="137">
        <v>500</v>
      </c>
      <c r="G1185" s="167"/>
      <c r="H1185" s="67">
        <f>+Table_1[[#This Row],[Column7]]+Table_1[[#This Row],[Column6]]+Table_1[[#This Row],[Column5]]+Table_1[[#This Row],[Column4]]</f>
        <v>500</v>
      </c>
      <c r="I1185" s="38">
        <v>170</v>
      </c>
      <c r="J1185" s="34">
        <f>'PACC GENERAL 2026'!$I1185*'PACC GENERAL 2026'!$H1185</f>
        <v>85000</v>
      </c>
      <c r="K1185" s="35"/>
      <c r="L1185" s="31"/>
      <c r="M1185" s="31"/>
      <c r="N1185" s="31"/>
      <c r="O1185" s="32" t="s">
        <v>1101</v>
      </c>
    </row>
    <row r="1186" spans="1:16" s="97" customFormat="1" ht="15.5">
      <c r="A1186" s="31" t="s">
        <v>38</v>
      </c>
      <c r="B1186" s="31" t="s">
        <v>648</v>
      </c>
      <c r="C1186" s="32" t="s">
        <v>94</v>
      </c>
      <c r="D1186" s="142"/>
      <c r="E1186" s="137"/>
      <c r="F1186" s="142">
        <v>700</v>
      </c>
      <c r="G1186" s="167"/>
      <c r="H1186" s="67">
        <f>+Table_1[[#This Row],[Column7]]+Table_1[[#This Row],[Column6]]+Table_1[[#This Row],[Column5]]+Table_1[[#This Row],[Column4]]</f>
        <v>700</v>
      </c>
      <c r="I1186" s="38">
        <v>55</v>
      </c>
      <c r="J1186" s="34">
        <f>'PACC GENERAL 2026'!$I1186*'PACC GENERAL 2026'!$H1186</f>
        <v>38500</v>
      </c>
      <c r="K1186" s="35"/>
      <c r="L1186" s="31"/>
      <c r="M1186" s="31"/>
      <c r="N1186" s="31"/>
      <c r="O1186" s="32" t="s">
        <v>1101</v>
      </c>
    </row>
    <row r="1187" spans="1:16" s="97" customFormat="1" ht="15.5">
      <c r="A1187" s="31" t="s">
        <v>38</v>
      </c>
      <c r="B1187" s="31" t="s">
        <v>300</v>
      </c>
      <c r="C1187" s="32" t="s">
        <v>94</v>
      </c>
      <c r="D1187" s="142"/>
      <c r="E1187" s="137"/>
      <c r="F1187" s="142">
        <v>600</v>
      </c>
      <c r="G1187" s="167"/>
      <c r="H1187" s="67">
        <f>+Table_1[[#This Row],[Column7]]+Table_1[[#This Row],[Column6]]+Table_1[[#This Row],[Column5]]+Table_1[[#This Row],[Column4]]</f>
        <v>600</v>
      </c>
      <c r="I1187" s="38">
        <v>30</v>
      </c>
      <c r="J1187" s="34">
        <f>'PACC GENERAL 2026'!$I1187*'PACC GENERAL 2026'!$H1187</f>
        <v>18000</v>
      </c>
      <c r="K1187" s="35"/>
      <c r="L1187" s="31"/>
      <c r="M1187" s="31"/>
      <c r="N1187" s="31"/>
      <c r="O1187" s="32" t="s">
        <v>1101</v>
      </c>
    </row>
    <row r="1188" spans="1:16" s="97" customFormat="1" ht="15.5">
      <c r="A1188" s="31" t="s">
        <v>38</v>
      </c>
      <c r="B1188" s="31" t="s">
        <v>301</v>
      </c>
      <c r="C1188" s="32" t="s">
        <v>94</v>
      </c>
      <c r="D1188" s="142"/>
      <c r="E1188" s="137"/>
      <c r="F1188" s="142">
        <v>100</v>
      </c>
      <c r="G1188" s="167"/>
      <c r="H1188" s="67">
        <f>+Table_1[[#This Row],[Column7]]+Table_1[[#This Row],[Column6]]+Table_1[[#This Row],[Column5]]+Table_1[[#This Row],[Column4]]</f>
        <v>100</v>
      </c>
      <c r="I1188" s="38">
        <v>795</v>
      </c>
      <c r="J1188" s="34">
        <f>'PACC GENERAL 2026'!$I1188*'PACC GENERAL 2026'!$H1188</f>
        <v>79500</v>
      </c>
      <c r="K1188" s="35"/>
      <c r="L1188" s="31"/>
      <c r="M1188" s="31"/>
      <c r="N1188" s="32"/>
      <c r="O1188" s="32" t="s">
        <v>1101</v>
      </c>
    </row>
    <row r="1189" spans="1:16" s="97" customFormat="1" ht="15.5">
      <c r="A1189" s="31" t="s">
        <v>38</v>
      </c>
      <c r="B1189" s="31" t="s">
        <v>302</v>
      </c>
      <c r="C1189" s="32" t="s">
        <v>94</v>
      </c>
      <c r="D1189" s="142">
        <v>150</v>
      </c>
      <c r="E1189" s="137"/>
      <c r="F1189" s="142">
        <v>200</v>
      </c>
      <c r="G1189" s="167"/>
      <c r="H1189" s="67">
        <f>+Table_1[[#This Row],[Column7]]+Table_1[[#This Row],[Column6]]+Table_1[[#This Row],[Column5]]+Table_1[[#This Row],[Column4]]</f>
        <v>350</v>
      </c>
      <c r="I1189" s="38">
        <v>42</v>
      </c>
      <c r="J1189" s="34">
        <f>'PACC GENERAL 2026'!$I1189*'PACC GENERAL 2026'!$H1189</f>
        <v>14700</v>
      </c>
      <c r="K1189" s="35"/>
      <c r="L1189" s="31"/>
      <c r="M1189" s="31"/>
      <c r="N1189" s="31"/>
      <c r="O1189" s="32" t="s">
        <v>1101</v>
      </c>
    </row>
    <row r="1190" spans="1:16" s="97" customFormat="1" ht="15.5">
      <c r="A1190" s="31" t="s">
        <v>38</v>
      </c>
      <c r="B1190" s="31" t="s">
        <v>303</v>
      </c>
      <c r="C1190" s="32" t="s">
        <v>94</v>
      </c>
      <c r="D1190" s="142"/>
      <c r="E1190" s="137"/>
      <c r="F1190" s="142">
        <v>125</v>
      </c>
      <c r="G1190" s="133"/>
      <c r="H1190" s="67">
        <f>+Table_1[[#This Row],[Column7]]+Table_1[[#This Row],[Column6]]+Table_1[[#This Row],[Column5]]+Table_1[[#This Row],[Column4]]</f>
        <v>125</v>
      </c>
      <c r="I1190" s="38">
        <v>7</v>
      </c>
      <c r="J1190" s="34">
        <f>'PACC GENERAL 2026'!$I1190*'PACC GENERAL 2026'!$H1190</f>
        <v>875</v>
      </c>
      <c r="K1190" s="35"/>
      <c r="L1190" s="31"/>
      <c r="M1190" s="31"/>
      <c r="N1190" s="31"/>
      <c r="O1190" s="32" t="s">
        <v>1101</v>
      </c>
    </row>
    <row r="1191" spans="1:16" s="97" customFormat="1" ht="15.5">
      <c r="A1191" s="48" t="s">
        <v>38</v>
      </c>
      <c r="B1191" s="48" t="s">
        <v>142</v>
      </c>
      <c r="C1191" s="63" t="s">
        <v>94</v>
      </c>
      <c r="D1191" s="142"/>
      <c r="E1191" s="137"/>
      <c r="F1191" s="137">
        <v>200</v>
      </c>
      <c r="G1191" s="155"/>
      <c r="H1191" s="67">
        <f>+Table_1[[#This Row],[Column7]]+Table_1[[#This Row],[Column6]]+Table_1[[#This Row],[Column5]]+Table_1[[#This Row],[Column4]]</f>
        <v>200</v>
      </c>
      <c r="I1191" s="77">
        <v>150</v>
      </c>
      <c r="J1191" s="34">
        <f>'PACC GENERAL 2026'!$I1191*'PACC GENERAL 2026'!$H1191</f>
        <v>30000</v>
      </c>
      <c r="K1191" s="35"/>
      <c r="L1191" s="31"/>
      <c r="M1191" s="31"/>
      <c r="N1191" s="31"/>
      <c r="O1191" s="32" t="s">
        <v>1101</v>
      </c>
    </row>
    <row r="1192" spans="1:16" s="97" customFormat="1" ht="15.5">
      <c r="A1192" s="31" t="s">
        <v>38</v>
      </c>
      <c r="B1192" s="31" t="s">
        <v>144</v>
      </c>
      <c r="C1192" s="32" t="s">
        <v>94</v>
      </c>
      <c r="D1192" s="142"/>
      <c r="E1192" s="137"/>
      <c r="F1192" s="142">
        <v>200</v>
      </c>
      <c r="G1192" s="133"/>
      <c r="H1192" s="67">
        <f>+Table_1[[#This Row],[Column7]]+Table_1[[#This Row],[Column6]]+Table_1[[#This Row],[Column5]]+Table_1[[#This Row],[Column4]]</f>
        <v>200</v>
      </c>
      <c r="I1192" s="38">
        <v>150</v>
      </c>
      <c r="J1192" s="34">
        <f>'PACC GENERAL 2026'!$I1192*'PACC GENERAL 2026'!$H1192</f>
        <v>30000</v>
      </c>
      <c r="K1192" s="35"/>
      <c r="L1192" s="31"/>
      <c r="M1192" s="31"/>
      <c r="N1192" s="31"/>
      <c r="O1192" s="32" t="s">
        <v>1101</v>
      </c>
    </row>
    <row r="1193" spans="1:16" s="474" customFormat="1" ht="15.5">
      <c r="A1193" s="467" t="s">
        <v>38</v>
      </c>
      <c r="B1193" s="467" t="s">
        <v>304</v>
      </c>
      <c r="C1193" s="468" t="s">
        <v>94</v>
      </c>
      <c r="D1193" s="478">
        <v>70</v>
      </c>
      <c r="E1193" s="470"/>
      <c r="F1193" s="475">
        <v>100</v>
      </c>
      <c r="G1193" s="469"/>
      <c r="H1193" s="471">
        <f>+Table_1[[#This Row],[Column7]]+Table_1[[#This Row],[Column6]]+Table_1[[#This Row],[Column5]]+Table_1[[#This Row],[Column4]]</f>
        <v>170</v>
      </c>
      <c r="I1193" s="472">
        <v>80</v>
      </c>
      <c r="J1193" s="473">
        <f>'PACC GENERAL 2026'!$I1193*'PACC GENERAL 2026'!$H1193</f>
        <v>13600</v>
      </c>
      <c r="K1193" s="476"/>
      <c r="L1193" s="467"/>
      <c r="M1193" s="467"/>
      <c r="N1193" s="467"/>
      <c r="O1193" s="468" t="s">
        <v>1101</v>
      </c>
    </row>
    <row r="1194" spans="1:16" s="474" customFormat="1" ht="15.5">
      <c r="A1194" s="467" t="s">
        <v>38</v>
      </c>
      <c r="B1194" s="467" t="s">
        <v>305</v>
      </c>
      <c r="C1194" s="468" t="s">
        <v>98</v>
      </c>
      <c r="D1194" s="470"/>
      <c r="E1194" s="470"/>
      <c r="F1194" s="475">
        <v>20</v>
      </c>
      <c r="G1194" s="477"/>
      <c r="H1194" s="471">
        <f>+Table_1[[#This Row],[Column7]]+Table_1[[#This Row],[Column6]]+Table_1[[#This Row],[Column5]]+Table_1[[#This Row],[Column4]]</f>
        <v>20</v>
      </c>
      <c r="I1194" s="472">
        <v>75</v>
      </c>
      <c r="J1194" s="473">
        <f>'PACC GENERAL 2026'!$I1194*'PACC GENERAL 2026'!$H1194</f>
        <v>1500</v>
      </c>
      <c r="K1194" s="476"/>
      <c r="L1194" s="467"/>
      <c r="M1194" s="467"/>
      <c r="N1194" s="467"/>
      <c r="O1194" s="468" t="s">
        <v>1101</v>
      </c>
    </row>
    <row r="1195" spans="1:16" s="97" customFormat="1" ht="15" customHeight="1">
      <c r="A1195" s="31" t="s">
        <v>38</v>
      </c>
      <c r="B1195" s="31" t="s">
        <v>306</v>
      </c>
      <c r="C1195" s="32" t="s">
        <v>98</v>
      </c>
      <c r="D1195" s="142"/>
      <c r="E1195" s="137"/>
      <c r="F1195" s="142">
        <v>50</v>
      </c>
      <c r="G1195" s="140"/>
      <c r="H1195" s="67">
        <f>+Table_1[[#This Row],[Column7]]+Table_1[[#This Row],[Column6]]+Table_1[[#This Row],[Column5]]+Table_1[[#This Row],[Column4]]</f>
        <v>50</v>
      </c>
      <c r="I1195" s="38">
        <v>115</v>
      </c>
      <c r="J1195" s="34">
        <f>'PACC GENERAL 2026'!$I1195*'PACC GENERAL 2026'!$H1195</f>
        <v>5750</v>
      </c>
      <c r="K1195" s="35"/>
      <c r="L1195" s="31"/>
      <c r="M1195" s="31"/>
      <c r="N1195" s="31"/>
      <c r="O1195" s="32" t="s">
        <v>1101</v>
      </c>
      <c r="P1195" s="320"/>
    </row>
    <row r="1196" spans="1:16" s="97" customFormat="1" ht="15" customHeight="1">
      <c r="A1196" s="31" t="s">
        <v>38</v>
      </c>
      <c r="B1196" s="31" t="s">
        <v>1369</v>
      </c>
      <c r="C1196" s="32" t="s">
        <v>94</v>
      </c>
      <c r="D1196" s="142"/>
      <c r="E1196" s="137"/>
      <c r="F1196" s="142">
        <v>1200</v>
      </c>
      <c r="G1196" s="140"/>
      <c r="H1196" s="67">
        <f>+Table_1[[#This Row],[Column7]]+Table_1[[#This Row],[Column6]]+Table_1[[#This Row],[Column5]]+Table_1[[#This Row],[Column4]]</f>
        <v>1200</v>
      </c>
      <c r="I1196" s="38">
        <v>400</v>
      </c>
      <c r="J1196" s="34">
        <f>'PACC GENERAL 2026'!$I1196*'PACC GENERAL 2026'!$H1196</f>
        <v>480000</v>
      </c>
      <c r="K1196" s="35"/>
      <c r="L1196" s="31"/>
      <c r="M1196" s="174"/>
      <c r="N1196" s="174"/>
      <c r="O1196" s="32" t="s">
        <v>1338</v>
      </c>
      <c r="P1196" s="320"/>
    </row>
    <row r="1197" spans="1:16" s="97" customFormat="1" ht="15" customHeight="1">
      <c r="A1197" s="31" t="s">
        <v>38</v>
      </c>
      <c r="B1197" s="31" t="s">
        <v>1393</v>
      </c>
      <c r="C1197" s="38" t="s">
        <v>98</v>
      </c>
      <c r="D1197" s="142">
        <v>100</v>
      </c>
      <c r="E1197" s="294"/>
      <c r="F1197" s="294"/>
      <c r="G1197" s="294"/>
      <c r="H1197" s="67">
        <f>+Table_1[[#This Row],[Column7]]+Table_1[[#This Row],[Column6]]+Table_1[[#This Row],[Column5]]+Table_1[[#This Row],[Column4]]</f>
        <v>100</v>
      </c>
      <c r="I1197" s="38">
        <v>1300</v>
      </c>
      <c r="J1197" s="34">
        <f>'PACC GENERAL 2026'!$I1197*'PACC GENERAL 2026'!$H1197</f>
        <v>130000</v>
      </c>
      <c r="K1197" s="31"/>
      <c r="L1197" s="31"/>
      <c r="M1197" s="48"/>
      <c r="N1197" s="48"/>
      <c r="O1197" s="32" t="s">
        <v>1101</v>
      </c>
      <c r="P1197" s="320"/>
    </row>
    <row r="1198" spans="1:16" s="97" customFormat="1" ht="15" customHeight="1">
      <c r="A1198" s="31" t="s">
        <v>38</v>
      </c>
      <c r="B1198" s="31" t="s">
        <v>1394</v>
      </c>
      <c r="C1198" s="38" t="s">
        <v>98</v>
      </c>
      <c r="D1198" s="142">
        <v>100</v>
      </c>
      <c r="E1198" s="294"/>
      <c r="F1198" s="294"/>
      <c r="G1198" s="294"/>
      <c r="H1198" s="67">
        <f>+Table_1[[#This Row],[Column7]]+Table_1[[#This Row],[Column6]]+Table_1[[#This Row],[Column5]]+Table_1[[#This Row],[Column4]]</f>
        <v>100</v>
      </c>
      <c r="I1198" s="38">
        <v>425</v>
      </c>
      <c r="J1198" s="34">
        <f>'PACC GENERAL 2026'!$I1198*'PACC GENERAL 2026'!$H1198</f>
        <v>42500</v>
      </c>
      <c r="K1198" s="31"/>
      <c r="L1198" s="31"/>
      <c r="M1198" s="48"/>
      <c r="N1198" s="48"/>
      <c r="O1198" s="32" t="s">
        <v>1101</v>
      </c>
      <c r="P1198" s="320"/>
    </row>
    <row r="1199" spans="1:16" s="97" customFormat="1" ht="15" customHeight="1">
      <c r="A1199" s="31" t="s">
        <v>38</v>
      </c>
      <c r="B1199" s="31" t="s">
        <v>854</v>
      </c>
      <c r="C1199" s="38" t="s">
        <v>98</v>
      </c>
      <c r="D1199" s="142">
        <v>100</v>
      </c>
      <c r="E1199" s="294"/>
      <c r="F1199" s="294"/>
      <c r="G1199" s="294"/>
      <c r="H1199" s="67">
        <f>+Table_1[[#This Row],[Column7]]+Table_1[[#This Row],[Column6]]+Table_1[[#This Row],[Column5]]+Table_1[[#This Row],[Column4]]</f>
        <v>100</v>
      </c>
      <c r="I1199" s="38">
        <v>50</v>
      </c>
      <c r="J1199" s="34">
        <f>'PACC GENERAL 2026'!$I1199*'PACC GENERAL 2026'!$H1199</f>
        <v>5000</v>
      </c>
      <c r="K1199" s="31"/>
      <c r="L1199" s="31"/>
      <c r="M1199" s="31"/>
      <c r="N1199" s="31"/>
      <c r="O1199" s="32" t="s">
        <v>1101</v>
      </c>
      <c r="P1199" s="320"/>
    </row>
    <row r="1200" spans="1:16" ht="15" customHeight="1">
      <c r="A1200" s="9" t="s">
        <v>38</v>
      </c>
      <c r="B1200" s="10" t="s">
        <v>117</v>
      </c>
      <c r="C1200" s="10"/>
      <c r="D1200" s="152"/>
      <c r="E1200" s="152"/>
      <c r="F1200" s="152"/>
      <c r="G1200" s="152"/>
      <c r="H1200" s="111"/>
      <c r="I1200" s="44"/>
      <c r="J1200" s="12"/>
      <c r="K1200" s="13">
        <f>SUM(J1135:J1199)</f>
        <v>4883362.8</v>
      </c>
      <c r="L1200" s="10"/>
      <c r="M1200" s="10"/>
      <c r="N1200" s="10"/>
      <c r="O1200" s="73"/>
    </row>
    <row r="1201" spans="1:16" ht="15.5">
      <c r="A1201" s="16" t="s">
        <v>1689</v>
      </c>
      <c r="B1201" s="16" t="s">
        <v>672</v>
      </c>
      <c r="C1201" s="276" t="s">
        <v>98</v>
      </c>
      <c r="D1201" s="149"/>
      <c r="E1201" s="149"/>
      <c r="F1201" s="149"/>
      <c r="G1201" s="149"/>
      <c r="H1201" s="67">
        <f>+Table_1[[#This Row],[Column7]]+Table_1[[#This Row],[Column6]]+Table_1[[#This Row],[Column5]]+Table_1[[#This Row],[Column4]]</f>
        <v>0</v>
      </c>
      <c r="I1201" s="43">
        <v>60000</v>
      </c>
      <c r="J1201" s="17">
        <f>'PACC GENERAL 2026'!$I1201*'PACC GENERAL 2026'!$H1201</f>
        <v>0</v>
      </c>
      <c r="K1201" s="17"/>
      <c r="L1201" s="16"/>
      <c r="M1201" s="16"/>
      <c r="N1201" s="16"/>
      <c r="O1201" s="276"/>
    </row>
    <row r="1202" spans="1:16" s="97" customFormat="1" ht="15.5">
      <c r="A1202" s="31" t="s">
        <v>1689</v>
      </c>
      <c r="B1202" s="36" t="s">
        <v>949</v>
      </c>
      <c r="C1202" s="32" t="s">
        <v>94</v>
      </c>
      <c r="D1202" s="137">
        <v>8</v>
      </c>
      <c r="E1202" s="137"/>
      <c r="F1202" s="133"/>
      <c r="G1202" s="137"/>
      <c r="H1202" s="67">
        <f>D1202+E1202+F1202+G1202</f>
        <v>8</v>
      </c>
      <c r="I1202" s="38">
        <v>1400</v>
      </c>
      <c r="J1202" s="34">
        <f>H1202*I1202</f>
        <v>11200</v>
      </c>
      <c r="K1202" s="31"/>
      <c r="L1202" s="31"/>
      <c r="M1202" s="31"/>
      <c r="N1202" s="31"/>
      <c r="O1202" s="63" t="s">
        <v>941</v>
      </c>
      <c r="P1202" s="320"/>
    </row>
    <row r="1203" spans="1:16" s="418" customFormat="1" ht="15.5">
      <c r="A1203" s="126" t="s">
        <v>1689</v>
      </c>
      <c r="B1203" s="399" t="s">
        <v>1693</v>
      </c>
      <c r="C1203" s="420" t="s">
        <v>94</v>
      </c>
      <c r="D1203" s="421">
        <v>1</v>
      </c>
      <c r="E1203" s="416"/>
      <c r="F1203" s="421"/>
      <c r="G1203" s="421"/>
      <c r="H1203" s="410">
        <f>+Table_1[[#This Row],[Column7]]+Table_1[[#This Row],[Column6]]+Table_1[[#This Row],[Column5]]+Table_1[[#This Row],[Column4]]</f>
        <v>1</v>
      </c>
      <c r="I1203" s="274">
        <v>60000</v>
      </c>
      <c r="J1203" s="422">
        <f>'PACC GENERAL 2026'!$I1203*'PACC GENERAL 2026'!$H1203</f>
        <v>60000</v>
      </c>
      <c r="K1203" s="126"/>
      <c r="L1203" s="126"/>
      <c r="M1203" s="126"/>
      <c r="N1203" s="126"/>
      <c r="O1203" s="426" t="s">
        <v>1338</v>
      </c>
      <c r="P1203" s="417"/>
    </row>
    <row r="1204" spans="1:16" ht="15.5">
      <c r="A1204" s="9" t="s">
        <v>1689</v>
      </c>
      <c r="B1204" s="10"/>
      <c r="C1204" s="10"/>
      <c r="D1204" s="152"/>
      <c r="E1204" s="152"/>
      <c r="F1204" s="152"/>
      <c r="G1204" s="152"/>
      <c r="H1204" s="111"/>
      <c r="I1204" s="44"/>
      <c r="J1204" s="12"/>
      <c r="K1204" s="13">
        <f>SUM(J1201:J1203)</f>
        <v>71200</v>
      </c>
      <c r="L1204" s="10"/>
      <c r="M1204" s="10"/>
      <c r="N1204" s="10"/>
      <c r="O1204" s="73"/>
    </row>
    <row r="1205" spans="1:16" s="97" customFormat="1" ht="15.5">
      <c r="A1205" s="174" t="s">
        <v>39</v>
      </c>
      <c r="B1205" s="189" t="s">
        <v>714</v>
      </c>
      <c r="C1205" s="179" t="s">
        <v>98</v>
      </c>
      <c r="D1205" s="142"/>
      <c r="E1205" s="182"/>
      <c r="F1205" s="142"/>
      <c r="G1205" s="181"/>
      <c r="H1205" s="67">
        <f>+Table_1[[#This Row],[Column7]]+Table_1[[#This Row],[Column6]]+Table_1[[#This Row],[Column5]]+Table_1[[#This Row],[Column4]]</f>
        <v>0</v>
      </c>
      <c r="I1205" s="177">
        <v>26865</v>
      </c>
      <c r="J1205" s="201">
        <f>'PACC GENERAL 2026'!$I1205*'PACC GENERAL 2026'!$H1205</f>
        <v>0</v>
      </c>
      <c r="K1205" s="186"/>
      <c r="L1205" s="174"/>
      <c r="M1205" s="174"/>
      <c r="N1205" s="174"/>
      <c r="O1205" s="179"/>
    </row>
    <row r="1206" spans="1:16" s="97" customFormat="1" ht="15.5">
      <c r="A1206" s="31" t="s">
        <v>39</v>
      </c>
      <c r="B1206" s="171" t="s">
        <v>925</v>
      </c>
      <c r="C1206" s="32"/>
      <c r="D1206" s="142">
        <v>200</v>
      </c>
      <c r="E1206" s="133"/>
      <c r="F1206" s="142"/>
      <c r="G1206" s="140"/>
      <c r="H1206" s="67">
        <f>D1206</f>
        <v>200</v>
      </c>
      <c r="I1206" s="38">
        <v>1500</v>
      </c>
      <c r="J1206" s="34">
        <f>D1206*I1206</f>
        <v>300000</v>
      </c>
      <c r="K1206" s="35"/>
      <c r="L1206" s="31"/>
      <c r="M1206" s="31"/>
      <c r="N1206" s="31"/>
      <c r="O1206" s="32" t="s">
        <v>404</v>
      </c>
    </row>
    <row r="1207" spans="1:16" s="97" customFormat="1" ht="15.5">
      <c r="A1207" s="31" t="s">
        <v>39</v>
      </c>
      <c r="B1207" s="48" t="s">
        <v>927</v>
      </c>
      <c r="C1207" s="179" t="s">
        <v>93</v>
      </c>
      <c r="D1207" s="155">
        <v>10</v>
      </c>
      <c r="E1207" s="155"/>
      <c r="F1207" s="155"/>
      <c r="G1207" s="155"/>
      <c r="H1207" s="67">
        <f>D1207</f>
        <v>10</v>
      </c>
      <c r="I1207" s="77">
        <v>55800</v>
      </c>
      <c r="J1207" s="230">
        <f>D1207*I1207</f>
        <v>558000</v>
      </c>
      <c r="K1207" s="103"/>
      <c r="L1207" s="48"/>
      <c r="M1207" s="48"/>
      <c r="N1207" s="48"/>
      <c r="O1207" s="63" t="s">
        <v>404</v>
      </c>
      <c r="P1207" s="320"/>
    </row>
    <row r="1208" spans="1:16" s="97" customFormat="1" ht="15.5">
      <c r="A1208" s="31" t="s">
        <v>39</v>
      </c>
      <c r="B1208" s="48" t="s">
        <v>928</v>
      </c>
      <c r="C1208" s="179" t="s">
        <v>93</v>
      </c>
      <c r="D1208" s="155">
        <v>60</v>
      </c>
      <c r="E1208" s="155"/>
      <c r="F1208" s="155"/>
      <c r="G1208" s="155"/>
      <c r="H1208" s="67">
        <f>D1208</f>
        <v>60</v>
      </c>
      <c r="I1208" s="77">
        <v>1500</v>
      </c>
      <c r="J1208" s="230">
        <f>D1208*I1208</f>
        <v>90000</v>
      </c>
      <c r="K1208" s="103"/>
      <c r="L1208" s="48"/>
      <c r="M1208" s="48"/>
      <c r="N1208" s="48"/>
      <c r="O1208" s="63" t="s">
        <v>404</v>
      </c>
      <c r="P1208" s="320"/>
    </row>
    <row r="1209" spans="1:16" s="97" customFormat="1" ht="15.5">
      <c r="A1209" s="31" t="s">
        <v>39</v>
      </c>
      <c r="B1209" s="48" t="s">
        <v>929</v>
      </c>
      <c r="C1209" s="179" t="s">
        <v>93</v>
      </c>
      <c r="D1209" s="155">
        <v>75</v>
      </c>
      <c r="E1209" s="155"/>
      <c r="F1209" s="155"/>
      <c r="G1209" s="155"/>
      <c r="H1209" s="67">
        <f>D1209</f>
        <v>75</v>
      </c>
      <c r="I1209" s="77">
        <v>1300</v>
      </c>
      <c r="J1209" s="230">
        <f>D1209*I1209</f>
        <v>97500</v>
      </c>
      <c r="K1209" s="103"/>
      <c r="L1209" s="48"/>
      <c r="M1209" s="48"/>
      <c r="N1209" s="48"/>
      <c r="O1209" s="63" t="s">
        <v>404</v>
      </c>
      <c r="P1209" s="320"/>
    </row>
    <row r="1210" spans="1:16" s="97" customFormat="1" ht="15.5">
      <c r="A1210" s="31" t="s">
        <v>39</v>
      </c>
      <c r="B1210" s="171" t="s">
        <v>715</v>
      </c>
      <c r="C1210" s="32" t="s">
        <v>98</v>
      </c>
      <c r="D1210" s="142"/>
      <c r="E1210" s="133"/>
      <c r="F1210" s="142"/>
      <c r="G1210" s="140"/>
      <c r="H1210" s="67">
        <f>+Table_1[[#This Row],[Column7]]+Table_1[[#This Row],[Column6]]+Table_1[[#This Row],[Column5]]+Table_1[[#This Row],[Column4]]</f>
        <v>0</v>
      </c>
      <c r="I1210" s="38">
        <v>67850</v>
      </c>
      <c r="J1210" s="34">
        <f>'PACC GENERAL 2026'!$I1210*'PACC GENERAL 2026'!$H1210</f>
        <v>0</v>
      </c>
      <c r="K1210" s="35"/>
      <c r="L1210" s="31"/>
      <c r="M1210" s="31"/>
      <c r="N1210" s="31"/>
      <c r="O1210" s="32"/>
    </row>
    <row r="1211" spans="1:16" s="418" customFormat="1" ht="15.75" customHeight="1">
      <c r="A1211" s="126" t="s">
        <v>39</v>
      </c>
      <c r="B1211" s="126" t="s">
        <v>910</v>
      </c>
      <c r="C1211" s="420" t="s">
        <v>133</v>
      </c>
      <c r="D1211" s="416">
        <v>100</v>
      </c>
      <c r="E1211" s="416"/>
      <c r="F1211" s="500"/>
      <c r="G1211" s="421"/>
      <c r="H1211" s="410">
        <f>+Table_1[[#This Row],[Column7]]+Table_1[[#This Row],[Column6]]+Table_1[[#This Row],[Column5]]+Table_1[[#This Row],[Column4]]</f>
        <v>100</v>
      </c>
      <c r="I1211" s="274">
        <v>1600</v>
      </c>
      <c r="J1211" s="422">
        <f>+'PACC GENERAL 2026'!$H1211*'PACC GENERAL 2026'!$I1211</f>
        <v>160000</v>
      </c>
      <c r="K1211" s="423"/>
      <c r="L1211" s="420"/>
      <c r="M1211" s="425"/>
      <c r="N1211" s="425"/>
      <c r="O1211" s="420" t="s">
        <v>404</v>
      </c>
      <c r="P1211" s="417"/>
    </row>
    <row r="1212" spans="1:16" s="97" customFormat="1" ht="15.5">
      <c r="A1212" s="31" t="s">
        <v>39</v>
      </c>
      <c r="B1212" s="171" t="s">
        <v>716</v>
      </c>
      <c r="C1212" s="32" t="s">
        <v>98</v>
      </c>
      <c r="D1212" s="142"/>
      <c r="E1212" s="133"/>
      <c r="F1212" s="142"/>
      <c r="G1212" s="140"/>
      <c r="H1212" s="67">
        <f>+Table_1[[#This Row],[Column7]]+Table_1[[#This Row],[Column6]]+Table_1[[#This Row],[Column5]]+Table_1[[#This Row],[Column4]]</f>
        <v>0</v>
      </c>
      <c r="I1212" s="38">
        <v>82248</v>
      </c>
      <c r="J1212" s="34">
        <f>'PACC GENERAL 2026'!$I1212*'PACC GENERAL 2026'!$H1212</f>
        <v>0</v>
      </c>
      <c r="K1212" s="35"/>
      <c r="L1212" s="31"/>
      <c r="M1212" s="31"/>
      <c r="N1212" s="31"/>
      <c r="O1212" s="32"/>
    </row>
    <row r="1213" spans="1:16" ht="15.5">
      <c r="A1213" s="9" t="s">
        <v>39</v>
      </c>
      <c r="B1213" s="10"/>
      <c r="C1213" s="10"/>
      <c r="D1213" s="152"/>
      <c r="E1213" s="152"/>
      <c r="F1213" s="152"/>
      <c r="G1213" s="152"/>
      <c r="H1213" s="111"/>
      <c r="I1213" s="44"/>
      <c r="J1213" s="12"/>
      <c r="K1213" s="13">
        <f>SUM(J1205:J1212)</f>
        <v>1205500</v>
      </c>
      <c r="L1213" s="10"/>
      <c r="M1213" s="10"/>
      <c r="N1213" s="10"/>
      <c r="O1213" s="73"/>
    </row>
    <row r="1214" spans="1:16" s="97" customFormat="1" ht="15.5">
      <c r="A1214" s="31" t="s">
        <v>40</v>
      </c>
      <c r="B1214" s="31" t="s">
        <v>567</v>
      </c>
      <c r="C1214" s="32" t="s">
        <v>93</v>
      </c>
      <c r="D1214" s="137"/>
      <c r="E1214" s="213"/>
      <c r="F1214" s="133">
        <v>10</v>
      </c>
      <c r="G1214" s="133"/>
      <c r="H1214" s="67">
        <f>+Table_1[[#This Row],[Column7]]+Table_1[[#This Row],[Column6]]+Table_1[[#This Row],[Column5]]+Table_1[[#This Row],[Column4]]</f>
        <v>10</v>
      </c>
      <c r="I1214" s="38">
        <v>350</v>
      </c>
      <c r="J1214" s="34">
        <f>'PACC GENERAL 2026'!$I1214*'PACC GENERAL 2026'!$H1214</f>
        <v>3500</v>
      </c>
      <c r="K1214" s="35"/>
      <c r="L1214" s="129"/>
      <c r="M1214" s="129"/>
      <c r="N1214" s="129"/>
      <c r="O1214" s="32" t="s">
        <v>1001</v>
      </c>
      <c r="P1214" s="320"/>
    </row>
    <row r="1215" spans="1:16" s="97" customFormat="1" ht="15.5">
      <c r="A1215" s="31" t="s">
        <v>40</v>
      </c>
      <c r="B1215" s="31" t="s">
        <v>1168</v>
      </c>
      <c r="C1215" s="32" t="s">
        <v>93</v>
      </c>
      <c r="D1215" s="137"/>
      <c r="E1215" s="137"/>
      <c r="F1215" s="213">
        <v>5</v>
      </c>
      <c r="G1215" s="133"/>
      <c r="H1215" s="67">
        <f>+Table_1[[#This Row],[Column7]]+Table_1[[#This Row],[Column6]]+Table_1[[#This Row],[Column5]]+Table_1[[#This Row],[Column4]]</f>
        <v>5</v>
      </c>
      <c r="I1215" s="38">
        <v>100</v>
      </c>
      <c r="J1215" s="34">
        <f>'PACC GENERAL 2026'!$I1215*'PACC GENERAL 2026'!$H1215</f>
        <v>500</v>
      </c>
      <c r="K1215" s="35"/>
      <c r="L1215" s="31"/>
      <c r="M1215" s="31"/>
      <c r="N1215" s="31"/>
      <c r="O1215" s="32" t="s">
        <v>434</v>
      </c>
      <c r="P1215" s="320"/>
    </row>
    <row r="1216" spans="1:16" s="97" customFormat="1" ht="15.5">
      <c r="A1216" s="31" t="s">
        <v>40</v>
      </c>
      <c r="B1216" s="31" t="s">
        <v>568</v>
      </c>
      <c r="C1216" s="32" t="s">
        <v>93</v>
      </c>
      <c r="D1216" s="137"/>
      <c r="E1216" s="213"/>
      <c r="F1216" s="137"/>
      <c r="G1216" s="133"/>
      <c r="H1216" s="67">
        <f>+Table_1[[#This Row],[Column7]]+Table_1[[#This Row],[Column6]]+Table_1[[#This Row],[Column5]]+Table_1[[#This Row],[Column4]]</f>
        <v>0</v>
      </c>
      <c r="I1216" s="38">
        <v>6250</v>
      </c>
      <c r="J1216" s="34">
        <f>'PACC GENERAL 2026'!$I1216*'PACC GENERAL 2026'!$H1216</f>
        <v>0</v>
      </c>
      <c r="K1216" s="35"/>
      <c r="L1216" s="31"/>
      <c r="M1216" s="31"/>
      <c r="N1216" s="31"/>
      <c r="O1216" s="32" t="s">
        <v>1001</v>
      </c>
      <c r="P1216" s="320"/>
    </row>
    <row r="1217" spans="1:16" s="97" customFormat="1" ht="15.5">
      <c r="A1217" s="31" t="s">
        <v>40</v>
      </c>
      <c r="B1217" s="31" t="s">
        <v>568</v>
      </c>
      <c r="C1217" s="32" t="s">
        <v>93</v>
      </c>
      <c r="D1217" s="133">
        <v>50</v>
      </c>
      <c r="E1217" s="213"/>
      <c r="F1217" s="133">
        <v>5</v>
      </c>
      <c r="G1217" s="133"/>
      <c r="H1217" s="67">
        <f>+Table_1[[#This Row],[Column7]]+Table_1[[#This Row],[Column6]]+Table_1[[#This Row],[Column5]]+Table_1[[#This Row],[Column4]]</f>
        <v>55</v>
      </c>
      <c r="I1217" s="38">
        <v>6250</v>
      </c>
      <c r="J1217" s="34">
        <f>'PACC GENERAL 2026'!$I1217*'PACC GENERAL 2026'!$H1217</f>
        <v>343750</v>
      </c>
      <c r="K1217" s="35"/>
      <c r="L1217" s="129"/>
      <c r="M1217" s="129"/>
      <c r="N1217" s="129"/>
      <c r="O1217" s="32" t="s">
        <v>1461</v>
      </c>
      <c r="P1217" s="320"/>
    </row>
    <row r="1218" spans="1:16" s="97" customFormat="1" ht="15.5">
      <c r="A1218" s="31" t="s">
        <v>40</v>
      </c>
      <c r="B1218" s="31" t="s">
        <v>798</v>
      </c>
      <c r="C1218" s="32" t="s">
        <v>93</v>
      </c>
      <c r="D1218" s="133">
        <v>5</v>
      </c>
      <c r="E1218" s="213"/>
      <c r="F1218" s="133"/>
      <c r="G1218" s="133"/>
      <c r="H1218" s="67">
        <f>+Table_1[[#This Row],[Column7]]+Table_1[[#This Row],[Column6]]+Table_1[[#This Row],[Column5]]+Table_1[[#This Row],[Column4]]</f>
        <v>5</v>
      </c>
      <c r="I1218" s="38">
        <v>1800</v>
      </c>
      <c r="J1218" s="34">
        <f>'PACC GENERAL 2026'!$I1218*'PACC GENERAL 2026'!$H1218</f>
        <v>9000</v>
      </c>
      <c r="K1218" s="35"/>
      <c r="L1218" s="31"/>
      <c r="M1218" s="31"/>
      <c r="N1218" s="31"/>
      <c r="O1218" s="32" t="s">
        <v>1001</v>
      </c>
      <c r="P1218" s="320"/>
    </row>
    <row r="1219" spans="1:16" s="97" customFormat="1" ht="31">
      <c r="A1219" s="31" t="s">
        <v>40</v>
      </c>
      <c r="B1219" s="31" t="s">
        <v>750</v>
      </c>
      <c r="C1219" s="32" t="s">
        <v>138</v>
      </c>
      <c r="D1219" s="165">
        <v>48</v>
      </c>
      <c r="E1219" s="213"/>
      <c r="F1219" s="133">
        <f>6+2</f>
        <v>8</v>
      </c>
      <c r="G1219" s="133"/>
      <c r="H1219" s="67">
        <f>+Table_1[[#This Row],[Column7]]+Table_1[[#This Row],[Column6]]+Table_1[[#This Row],[Column5]]+Table_1[[#This Row],[Column4]]</f>
        <v>56</v>
      </c>
      <c r="I1219" s="38">
        <v>400</v>
      </c>
      <c r="J1219" s="34">
        <f>'PACC GENERAL 2026'!$I1219*'PACC GENERAL 2026'!$H1219</f>
        <v>22400</v>
      </c>
      <c r="K1219" s="35"/>
      <c r="L1219" s="31"/>
      <c r="M1219" s="31"/>
      <c r="N1219" s="31"/>
      <c r="O1219" s="32" t="s">
        <v>1462</v>
      </c>
      <c r="P1219" s="320"/>
    </row>
    <row r="1220" spans="1:16" s="97" customFormat="1" ht="15.5">
      <c r="A1220" s="31" t="s">
        <v>40</v>
      </c>
      <c r="B1220" s="31" t="s">
        <v>750</v>
      </c>
      <c r="C1220" s="32" t="s">
        <v>138</v>
      </c>
      <c r="D1220" s="133"/>
      <c r="E1220" s="137"/>
      <c r="F1220" s="133"/>
      <c r="G1220" s="133"/>
      <c r="H1220" s="67">
        <f>+Table_1[[#This Row],[Column7]]+Table_1[[#This Row],[Column6]]+Table_1[[#This Row],[Column5]]+Table_1[[#This Row],[Column4]]</f>
        <v>0</v>
      </c>
      <c r="I1220" s="38">
        <v>400</v>
      </c>
      <c r="J1220" s="34">
        <f>'PACC GENERAL 2026'!$I1220*'PACC GENERAL 2026'!$H1220</f>
        <v>0</v>
      </c>
      <c r="K1220" s="35"/>
      <c r="L1220" s="31"/>
      <c r="M1220" s="31"/>
      <c r="N1220" s="31"/>
      <c r="O1220" s="32" t="s">
        <v>1312</v>
      </c>
      <c r="P1220" s="320"/>
    </row>
    <row r="1221" spans="1:16" s="97" customFormat="1" ht="15.5">
      <c r="A1221" s="31" t="s">
        <v>40</v>
      </c>
      <c r="B1221" s="31" t="s">
        <v>798</v>
      </c>
      <c r="C1221" s="32" t="s">
        <v>93</v>
      </c>
      <c r="D1221" s="133"/>
      <c r="E1221" s="137"/>
      <c r="F1221" s="133"/>
      <c r="G1221" s="133"/>
      <c r="H1221" s="67">
        <f>+Table_1[[#This Row],[Column7]]+Table_1[[#This Row],[Column6]]+Table_1[[#This Row],[Column5]]+Table_1[[#This Row],[Column4]]</f>
        <v>0</v>
      </c>
      <c r="I1221" s="38">
        <v>1800</v>
      </c>
      <c r="J1221" s="34">
        <f>+'PACC GENERAL 2026'!$H1221*'PACC GENERAL 2026'!$I1221</f>
        <v>0</v>
      </c>
      <c r="K1221" s="35"/>
      <c r="L1221" s="31"/>
      <c r="M1221" s="31"/>
      <c r="N1221" s="31"/>
      <c r="O1221" s="32" t="s">
        <v>414</v>
      </c>
      <c r="P1221" s="320"/>
    </row>
    <row r="1222" spans="1:16" s="97" customFormat="1" ht="15.5">
      <c r="A1222" s="31" t="s">
        <v>40</v>
      </c>
      <c r="B1222" s="31" t="s">
        <v>798</v>
      </c>
      <c r="C1222" s="32" t="s">
        <v>93</v>
      </c>
      <c r="D1222" s="133">
        <v>50</v>
      </c>
      <c r="E1222" s="213"/>
      <c r="F1222" s="133">
        <v>5</v>
      </c>
      <c r="G1222" s="133"/>
      <c r="H1222" s="67">
        <f>+Table_1[[#This Row],[Column7]]+Table_1[[#This Row],[Column6]]+Table_1[[#This Row],[Column5]]+Table_1[[#This Row],[Column4]]</f>
        <v>55</v>
      </c>
      <c r="I1222" s="38">
        <v>1800</v>
      </c>
      <c r="J1222" s="34">
        <f>'PACC GENERAL 2026'!$I1222*'PACC GENERAL 2026'!$H1222</f>
        <v>99000</v>
      </c>
      <c r="K1222" s="35"/>
      <c r="L1222" s="129"/>
      <c r="M1222" s="129"/>
      <c r="N1222" s="129"/>
      <c r="O1222" s="32" t="s">
        <v>1463</v>
      </c>
      <c r="P1222" s="320"/>
    </row>
    <row r="1223" spans="1:16" s="97" customFormat="1" ht="15.5">
      <c r="A1223" s="31" t="s">
        <v>40</v>
      </c>
      <c r="B1223" s="31" t="s">
        <v>799</v>
      </c>
      <c r="C1223" s="32" t="s">
        <v>93</v>
      </c>
      <c r="D1223" s="137"/>
      <c r="E1223" s="213"/>
      <c r="F1223" s="133"/>
      <c r="G1223" s="133"/>
      <c r="H1223" s="67">
        <f>+Table_1[[#This Row],[Column7]]+Table_1[[#This Row],[Column6]]+Table_1[[#This Row],[Column5]]+Table_1[[#This Row],[Column4]]</f>
        <v>0</v>
      </c>
      <c r="I1223" s="38">
        <v>620</v>
      </c>
      <c r="J1223" s="34">
        <f>'PACC GENERAL 2026'!$I1223*'PACC GENERAL 2026'!$H1223</f>
        <v>0</v>
      </c>
      <c r="K1223" s="35"/>
      <c r="L1223" s="31"/>
      <c r="M1223" s="31"/>
      <c r="N1223" s="31"/>
      <c r="O1223" s="32" t="s">
        <v>1001</v>
      </c>
      <c r="P1223" s="320"/>
    </row>
    <row r="1224" spans="1:16" s="97" customFormat="1" ht="31">
      <c r="A1224" s="31" t="s">
        <v>40</v>
      </c>
      <c r="B1224" s="31" t="s">
        <v>799</v>
      </c>
      <c r="C1224" s="32" t="s">
        <v>93</v>
      </c>
      <c r="D1224" s="133">
        <v>300</v>
      </c>
      <c r="E1224" s="213"/>
      <c r="F1224" s="133">
        <f>20+5</f>
        <v>25</v>
      </c>
      <c r="G1224" s="133"/>
      <c r="H1224" s="67">
        <f>+Table_1[[#This Row],[Column7]]+Table_1[[#This Row],[Column6]]+Table_1[[#This Row],[Column5]]+Table_1[[#This Row],[Column4]]</f>
        <v>325</v>
      </c>
      <c r="I1224" s="38">
        <v>620</v>
      </c>
      <c r="J1224" s="34">
        <f>'PACC GENERAL 2026'!$I1224*'PACC GENERAL 2026'!$H1224</f>
        <v>201500</v>
      </c>
      <c r="K1224" s="35"/>
      <c r="L1224" s="129"/>
      <c r="M1224" s="129"/>
      <c r="N1224" s="129"/>
      <c r="O1224" s="32" t="s">
        <v>1464</v>
      </c>
      <c r="P1224" s="320"/>
    </row>
    <row r="1225" spans="1:16" s="97" customFormat="1" ht="15.5">
      <c r="A1225" s="31" t="s">
        <v>40</v>
      </c>
      <c r="B1225" s="31" t="s">
        <v>837</v>
      </c>
      <c r="C1225" s="32" t="s">
        <v>307</v>
      </c>
      <c r="D1225" s="137"/>
      <c r="E1225" s="213"/>
      <c r="F1225" s="133">
        <v>2</v>
      </c>
      <c r="G1225" s="133"/>
      <c r="H1225" s="67">
        <f>+Table_1[[#This Row],[Column7]]+Table_1[[#This Row],[Column6]]+Table_1[[#This Row],[Column5]]+Table_1[[#This Row],[Column4]]</f>
        <v>2</v>
      </c>
      <c r="I1225" s="38">
        <v>150000</v>
      </c>
      <c r="J1225" s="34">
        <f>'PACC GENERAL 2026'!$I1225*'PACC GENERAL 2026'!$H1225</f>
        <v>300000</v>
      </c>
      <c r="K1225" s="35"/>
      <c r="L1225" s="31"/>
      <c r="M1225" s="31"/>
      <c r="N1225" s="31"/>
      <c r="O1225" s="32" t="s">
        <v>1001</v>
      </c>
      <c r="P1225" s="320"/>
    </row>
    <row r="1226" spans="1:16" s="97" customFormat="1" ht="15.5">
      <c r="A1226" s="31" t="s">
        <v>40</v>
      </c>
      <c r="B1226" s="31" t="s">
        <v>839</v>
      </c>
      <c r="C1226" s="32" t="s">
        <v>138</v>
      </c>
      <c r="D1226" s="137"/>
      <c r="E1226" s="213"/>
      <c r="F1226" s="133">
        <v>100</v>
      </c>
      <c r="G1226" s="133"/>
      <c r="H1226" s="67">
        <f>+Table_1[[#This Row],[Column7]]+Table_1[[#This Row],[Column6]]+Table_1[[#This Row],[Column5]]+Table_1[[#This Row],[Column4]]</f>
        <v>100</v>
      </c>
      <c r="I1226" s="38">
        <v>400</v>
      </c>
      <c r="J1226" s="34">
        <f>'PACC GENERAL 2026'!$I1226*'PACC GENERAL 2026'!$H1226</f>
        <v>40000</v>
      </c>
      <c r="K1226" s="35"/>
      <c r="L1226" s="31"/>
      <c r="M1226" s="31"/>
      <c r="N1226" s="31"/>
      <c r="O1226" s="32" t="s">
        <v>1001</v>
      </c>
      <c r="P1226" s="320"/>
    </row>
    <row r="1227" spans="1:16" s="97" customFormat="1" ht="15.5">
      <c r="A1227" s="31" t="s">
        <v>40</v>
      </c>
      <c r="B1227" s="31" t="s">
        <v>838</v>
      </c>
      <c r="C1227" s="32" t="s">
        <v>138</v>
      </c>
      <c r="D1227" s="137"/>
      <c r="E1227" s="213"/>
      <c r="F1227" s="137"/>
      <c r="G1227" s="133"/>
      <c r="H1227" s="67">
        <f>+Table_1[[#This Row],[Column7]]+Table_1[[#This Row],[Column6]]+Table_1[[#This Row],[Column5]]+Table_1[[#This Row],[Column4]]</f>
        <v>0</v>
      </c>
      <c r="I1227" s="38">
        <v>165</v>
      </c>
      <c r="J1227" s="34">
        <f>'PACC GENERAL 2026'!$I1227*'PACC GENERAL 2026'!$H1227</f>
        <v>0</v>
      </c>
      <c r="K1227" s="35"/>
      <c r="L1227" s="31"/>
      <c r="M1227" s="31"/>
      <c r="N1227" s="31"/>
      <c r="O1227" s="32" t="s">
        <v>1001</v>
      </c>
      <c r="P1227" s="320"/>
    </row>
    <row r="1228" spans="1:16" s="97" customFormat="1" ht="15.5">
      <c r="A1228" s="31" t="s">
        <v>40</v>
      </c>
      <c r="B1228" s="31" t="s">
        <v>838</v>
      </c>
      <c r="C1228" s="32" t="s">
        <v>138</v>
      </c>
      <c r="D1228" s="133">
        <v>1000</v>
      </c>
      <c r="E1228" s="213"/>
      <c r="F1228" s="133">
        <v>50</v>
      </c>
      <c r="G1228" s="133"/>
      <c r="H1228" s="67">
        <f>+Table_1[[#This Row],[Column7]]+Table_1[[#This Row],[Column6]]+Table_1[[#This Row],[Column5]]+Table_1[[#This Row],[Column4]]</f>
        <v>1050</v>
      </c>
      <c r="I1228" s="38">
        <v>165</v>
      </c>
      <c r="J1228" s="34">
        <f>'PACC GENERAL 2026'!$I1228*'PACC GENERAL 2026'!$H1228</f>
        <v>173250</v>
      </c>
      <c r="K1228" s="35"/>
      <c r="L1228" s="129"/>
      <c r="M1228" s="129"/>
      <c r="N1228" s="129"/>
      <c r="O1228" s="32" t="s">
        <v>1465</v>
      </c>
      <c r="P1228" s="320"/>
    </row>
    <row r="1229" spans="1:16" s="97" customFormat="1" ht="15.5">
      <c r="A1229" s="31" t="s">
        <v>40</v>
      </c>
      <c r="B1229" s="31" t="s">
        <v>703</v>
      </c>
      <c r="C1229" s="32" t="s">
        <v>138</v>
      </c>
      <c r="D1229" s="137"/>
      <c r="E1229" s="213"/>
      <c r="F1229" s="133">
        <v>100</v>
      </c>
      <c r="G1229" s="133"/>
      <c r="H1229" s="67">
        <f>+Table_1[[#This Row],[Column7]]+Table_1[[#This Row],[Column6]]+Table_1[[#This Row],[Column5]]+Table_1[[#This Row],[Column4]]</f>
        <v>100</v>
      </c>
      <c r="I1229" s="38">
        <v>800</v>
      </c>
      <c r="J1229" s="34">
        <f>'PACC GENERAL 2026'!$I1229*'PACC GENERAL 2026'!$H1229</f>
        <v>80000</v>
      </c>
      <c r="K1229" s="35"/>
      <c r="L1229" s="31"/>
      <c r="M1229" s="31"/>
      <c r="N1229" s="31"/>
      <c r="O1229" s="32" t="s">
        <v>1001</v>
      </c>
      <c r="P1229" s="320"/>
    </row>
    <row r="1230" spans="1:16" s="97" customFormat="1" ht="15.5">
      <c r="A1230" s="31" t="s">
        <v>40</v>
      </c>
      <c r="B1230" s="31" t="s">
        <v>861</v>
      </c>
      <c r="C1230" s="32" t="s">
        <v>94</v>
      </c>
      <c r="D1230" s="213">
        <v>72</v>
      </c>
      <c r="E1230" s="137"/>
      <c r="F1230" s="133"/>
      <c r="G1230" s="133"/>
      <c r="H1230" s="67">
        <f>+Table_1[[#This Row],[Column7]]+Table_1[[#This Row],[Column6]]+Table_1[[#This Row],[Column5]]+Table_1[[#This Row],[Column4]]</f>
        <v>72</v>
      </c>
      <c r="I1230" s="38">
        <v>200</v>
      </c>
      <c r="J1230" s="34">
        <f>'PACC GENERAL 2026'!$I1230*'PACC GENERAL 2026'!$H1230</f>
        <v>14400</v>
      </c>
      <c r="K1230" s="35"/>
      <c r="L1230" s="31"/>
      <c r="M1230" s="31"/>
      <c r="N1230" s="31"/>
      <c r="O1230" s="32" t="s">
        <v>1312</v>
      </c>
      <c r="P1230" s="320"/>
    </row>
    <row r="1231" spans="1:16" s="97" customFormat="1" ht="15.5">
      <c r="A1231" s="31" t="s">
        <v>40</v>
      </c>
      <c r="B1231" s="31" t="s">
        <v>751</v>
      </c>
      <c r="C1231" s="32" t="s">
        <v>138</v>
      </c>
      <c r="D1231" s="137"/>
      <c r="E1231" s="137"/>
      <c r="F1231" s="133"/>
      <c r="G1231" s="133"/>
      <c r="H1231" s="67">
        <f>+Table_1[[#This Row],[Column7]]+Table_1[[#This Row],[Column6]]+Table_1[[#This Row],[Column5]]+Table_1[[#This Row],[Column4]]</f>
        <v>0</v>
      </c>
      <c r="I1231" s="38">
        <v>581</v>
      </c>
      <c r="J1231" s="34">
        <f>'PACC GENERAL 2026'!$I1231*'PACC GENERAL 2026'!$H1231</f>
        <v>0</v>
      </c>
      <c r="K1231" s="35"/>
      <c r="L1231" s="31"/>
      <c r="M1231" s="31"/>
      <c r="N1231" s="31"/>
      <c r="O1231" s="32" t="s">
        <v>1312</v>
      </c>
      <c r="P1231" s="320"/>
    </row>
    <row r="1232" spans="1:16" s="66" customFormat="1" ht="31">
      <c r="A1232" s="31" t="s">
        <v>40</v>
      </c>
      <c r="B1232" s="31" t="s">
        <v>595</v>
      </c>
      <c r="C1232" s="32" t="s">
        <v>138</v>
      </c>
      <c r="D1232" s="165">
        <f>8+300</f>
        <v>308</v>
      </c>
      <c r="E1232" s="139"/>
      <c r="F1232" s="165">
        <f>300+2</f>
        <v>302</v>
      </c>
      <c r="G1232" s="133"/>
      <c r="H1232" s="67">
        <f>+Table_1[[#This Row],[Column7]]+Table_1[[#This Row],[Column6]]+Table_1[[#This Row],[Column5]]+Table_1[[#This Row],[Column4]]</f>
        <v>610</v>
      </c>
      <c r="I1232" s="38">
        <v>800</v>
      </c>
      <c r="J1232" s="34">
        <f>+'PACC GENERAL 2026'!$H1232*'PACC GENERAL 2026'!$I1232</f>
        <v>488000</v>
      </c>
      <c r="K1232" s="35"/>
      <c r="L1232" s="31"/>
      <c r="M1232" s="31"/>
      <c r="N1232" s="31"/>
      <c r="O1232" s="32" t="s">
        <v>1466</v>
      </c>
      <c r="P1232" s="358"/>
    </row>
    <row r="1233" spans="1:16" s="97" customFormat="1" ht="15.5">
      <c r="A1233" s="31" t="s">
        <v>40</v>
      </c>
      <c r="B1233" s="31" t="s">
        <v>595</v>
      </c>
      <c r="C1233" s="32" t="s">
        <v>103</v>
      </c>
      <c r="D1233" s="133"/>
      <c r="E1233" s="137"/>
      <c r="F1233" s="213"/>
      <c r="G1233" s="133"/>
      <c r="H1233" s="67">
        <f>+Table_1[[#This Row],[Column7]]+Table_1[[#This Row],[Column6]]+Table_1[[#This Row],[Column5]]+Table_1[[#This Row],[Column4]]</f>
        <v>0</v>
      </c>
      <c r="I1233" s="38">
        <v>800</v>
      </c>
      <c r="J1233" s="34">
        <f>'PACC GENERAL 2026'!$I1233*'PACC GENERAL 2026'!$H1233</f>
        <v>0</v>
      </c>
      <c r="K1233" s="35"/>
      <c r="L1233" s="31"/>
      <c r="M1233" s="31"/>
      <c r="N1233" s="31"/>
      <c r="O1233" s="32" t="s">
        <v>434</v>
      </c>
      <c r="P1233" s="320"/>
    </row>
    <row r="1234" spans="1:16" s="97" customFormat="1" ht="15.5">
      <c r="A1234" s="31" t="s">
        <v>40</v>
      </c>
      <c r="B1234" s="31" t="s">
        <v>751</v>
      </c>
      <c r="C1234" s="32" t="s">
        <v>138</v>
      </c>
      <c r="D1234" s="133"/>
      <c r="E1234" s="133"/>
      <c r="F1234" s="133"/>
      <c r="G1234" s="133"/>
      <c r="H1234" s="67">
        <f>+Table_1[[#This Row],[Column7]]+Table_1[[#This Row],[Column6]]+Table_1[[#This Row],[Column5]]+Table_1[[#This Row],[Column4]]</f>
        <v>0</v>
      </c>
      <c r="I1234" s="38">
        <v>581</v>
      </c>
      <c r="J1234" s="34">
        <f>+'PACC GENERAL 2026'!$H1234*'PACC GENERAL 2026'!$I1234</f>
        <v>0</v>
      </c>
      <c r="K1234" s="35"/>
      <c r="L1234" s="31"/>
      <c r="M1234" s="31"/>
      <c r="N1234" s="31"/>
      <c r="O1234" s="32" t="s">
        <v>1191</v>
      </c>
      <c r="P1234" s="320"/>
    </row>
    <row r="1235" spans="1:16" s="97" customFormat="1" ht="15.5">
      <c r="A1235" s="31" t="s">
        <v>40</v>
      </c>
      <c r="B1235" s="31" t="s">
        <v>1169</v>
      </c>
      <c r="C1235" s="32" t="s">
        <v>307</v>
      </c>
      <c r="D1235" s="133"/>
      <c r="E1235" s="137"/>
      <c r="F1235" s="213">
        <v>20</v>
      </c>
      <c r="G1235" s="133"/>
      <c r="H1235" s="67">
        <f>+Table_1[[#This Row],[Column7]]+Table_1[[#This Row],[Column6]]+Table_1[[#This Row],[Column5]]+Table_1[[#This Row],[Column4]]</f>
        <v>20</v>
      </c>
      <c r="I1235" s="38">
        <v>500</v>
      </c>
      <c r="J1235" s="34">
        <f>'PACC GENERAL 2026'!$I1235*'PACC GENERAL 2026'!$H1235</f>
        <v>10000</v>
      </c>
      <c r="K1235" s="35"/>
      <c r="L1235" s="31"/>
      <c r="M1235" s="31"/>
      <c r="N1235" s="31"/>
      <c r="O1235" s="32" t="s">
        <v>434</v>
      </c>
      <c r="P1235" s="320"/>
    </row>
    <row r="1236" spans="1:16" s="97" customFormat="1" ht="15.5">
      <c r="A1236" s="31" t="s">
        <v>40</v>
      </c>
      <c r="B1236" s="31" t="s">
        <v>1171</v>
      </c>
      <c r="C1236" s="32" t="s">
        <v>307</v>
      </c>
      <c r="D1236" s="133"/>
      <c r="E1236" s="137"/>
      <c r="F1236" s="213">
        <v>75</v>
      </c>
      <c r="G1236" s="133"/>
      <c r="H1236" s="67">
        <f>+Table_1[[#This Row],[Column7]]+Table_1[[#This Row],[Column6]]+Table_1[[#This Row],[Column5]]+Table_1[[#This Row],[Column4]]</f>
        <v>75</v>
      </c>
      <c r="I1236" s="38">
        <v>600</v>
      </c>
      <c r="J1236" s="34">
        <f>'PACC GENERAL 2026'!$I1236*'PACC GENERAL 2026'!$H1236</f>
        <v>45000</v>
      </c>
      <c r="K1236" s="35"/>
      <c r="L1236" s="31"/>
      <c r="M1236" s="31"/>
      <c r="N1236" s="31"/>
      <c r="O1236" s="32" t="s">
        <v>434</v>
      </c>
      <c r="P1236" s="320"/>
    </row>
    <row r="1237" spans="1:16" s="97" customFormat="1" ht="15.5">
      <c r="A1237" s="31" t="s">
        <v>40</v>
      </c>
      <c r="B1237" s="31" t="s">
        <v>800</v>
      </c>
      <c r="C1237" s="32" t="s">
        <v>307</v>
      </c>
      <c r="D1237" s="133">
        <v>900</v>
      </c>
      <c r="E1237" s="213"/>
      <c r="F1237" s="133"/>
      <c r="G1237" s="133"/>
      <c r="H1237" s="67">
        <f>+Table_1[[#This Row],[Column7]]+Table_1[[#This Row],[Column6]]+Table_1[[#This Row],[Column5]]+Table_1[[#This Row],[Column4]]</f>
        <v>900</v>
      </c>
      <c r="I1237" s="38">
        <v>4200</v>
      </c>
      <c r="J1237" s="34">
        <f>'PACC GENERAL 2026'!$I1237*'PACC GENERAL 2026'!$H1237</f>
        <v>3780000</v>
      </c>
      <c r="K1237" s="35"/>
      <c r="L1237" s="31"/>
      <c r="M1237" s="31"/>
      <c r="N1237" s="31"/>
      <c r="O1237" s="32" t="s">
        <v>1301</v>
      </c>
      <c r="P1237" s="320"/>
    </row>
    <row r="1238" spans="1:16" s="97" customFormat="1" ht="15.5">
      <c r="A1238" s="31" t="s">
        <v>40</v>
      </c>
      <c r="B1238" s="31" t="s">
        <v>801</v>
      </c>
      <c r="C1238" s="32" t="s">
        <v>93</v>
      </c>
      <c r="D1238" s="133">
        <v>3</v>
      </c>
      <c r="E1238" s="213"/>
      <c r="F1238" s="133"/>
      <c r="G1238" s="133"/>
      <c r="H1238" s="67">
        <f>+Table_1[[#This Row],[Column7]]+Table_1[[#This Row],[Column6]]+Table_1[[#This Row],[Column5]]+Table_1[[#This Row],[Column4]]</f>
        <v>3</v>
      </c>
      <c r="I1238" s="38">
        <v>520000</v>
      </c>
      <c r="J1238" s="34">
        <f>'PACC GENERAL 2026'!$I1238*'PACC GENERAL 2026'!$H1238</f>
        <v>1560000</v>
      </c>
      <c r="K1238" s="35"/>
      <c r="L1238" s="31"/>
      <c r="M1238" s="31"/>
      <c r="N1238" s="31"/>
      <c r="O1238" s="32" t="s">
        <v>1301</v>
      </c>
      <c r="P1238" s="320"/>
    </row>
    <row r="1239" spans="1:16" s="97" customFormat="1" ht="15.5">
      <c r="A1239" s="31" t="s">
        <v>40</v>
      </c>
      <c r="B1239" s="48" t="s">
        <v>926</v>
      </c>
      <c r="C1239" s="179" t="s">
        <v>93</v>
      </c>
      <c r="D1239" s="137"/>
      <c r="E1239" s="155"/>
      <c r="F1239" s="155">
        <v>10</v>
      </c>
      <c r="G1239" s="155"/>
      <c r="H1239" s="67">
        <f>F1239</f>
        <v>10</v>
      </c>
      <c r="I1239" s="77">
        <v>15000</v>
      </c>
      <c r="J1239" s="230">
        <f>F1239*I1239</f>
        <v>150000</v>
      </c>
      <c r="K1239" s="103"/>
      <c r="L1239" s="48"/>
      <c r="M1239" s="48"/>
      <c r="N1239" s="48"/>
      <c r="O1239" s="63" t="s">
        <v>404</v>
      </c>
      <c r="P1239" s="320"/>
    </row>
    <row r="1240" spans="1:16" s="97" customFormat="1" ht="15.5">
      <c r="A1240" s="31" t="s">
        <v>40</v>
      </c>
      <c r="B1240" s="31" t="s">
        <v>802</v>
      </c>
      <c r="C1240" s="32" t="s">
        <v>94</v>
      </c>
      <c r="D1240" s="133">
        <v>4</v>
      </c>
      <c r="E1240" s="213"/>
      <c r="F1240" s="133"/>
      <c r="G1240" s="133"/>
      <c r="H1240" s="67">
        <f>+Table_1[[#This Row],[Column7]]+Table_1[[#This Row],[Column6]]+Table_1[[#This Row],[Column5]]+Table_1[[#This Row],[Column4]]</f>
        <v>4</v>
      </c>
      <c r="I1240" s="38">
        <v>590000</v>
      </c>
      <c r="J1240" s="34">
        <f>'PACC GENERAL 2026'!$I1240*'PACC GENERAL 2026'!$H1240</f>
        <v>2360000</v>
      </c>
      <c r="K1240" s="35"/>
      <c r="L1240" s="31"/>
      <c r="M1240" s="31"/>
      <c r="N1240" s="31"/>
      <c r="O1240" s="32" t="s">
        <v>1301</v>
      </c>
      <c r="P1240" s="320"/>
    </row>
    <row r="1241" spans="1:16" s="97" customFormat="1" ht="15.5">
      <c r="A1241" s="31" t="s">
        <v>40</v>
      </c>
      <c r="B1241" s="31" t="s">
        <v>803</v>
      </c>
      <c r="C1241" s="32" t="s">
        <v>94</v>
      </c>
      <c r="D1241" s="133">
        <v>4</v>
      </c>
      <c r="E1241" s="213"/>
      <c r="F1241" s="133"/>
      <c r="G1241" s="133"/>
      <c r="H1241" s="67">
        <f>+Table_1[[#This Row],[Column7]]+Table_1[[#This Row],[Column6]]+Table_1[[#This Row],[Column5]]+Table_1[[#This Row],[Column4]]</f>
        <v>4</v>
      </c>
      <c r="I1241" s="38">
        <v>630000</v>
      </c>
      <c r="J1241" s="34">
        <f>'PACC GENERAL 2026'!$I1241*'PACC GENERAL 2026'!$H1241</f>
        <v>2520000</v>
      </c>
      <c r="K1241" s="35"/>
      <c r="L1241" s="31"/>
      <c r="M1241" s="31"/>
      <c r="N1241" s="31"/>
      <c r="O1241" s="32" t="s">
        <v>1301</v>
      </c>
      <c r="P1241" s="320"/>
    </row>
    <row r="1242" spans="1:16" s="97" customFormat="1" ht="15.5">
      <c r="A1242" s="31" t="s">
        <v>40</v>
      </c>
      <c r="B1242" s="31" t="s">
        <v>968</v>
      </c>
      <c r="C1242" s="32" t="s">
        <v>94</v>
      </c>
      <c r="D1242" s="137"/>
      <c r="E1242" s="133"/>
      <c r="F1242" s="133">
        <v>40</v>
      </c>
      <c r="G1242" s="133"/>
      <c r="H1242" s="67">
        <f>+Table_1[[#This Row],[Column7]]+Table_1[[#This Row],[Column6]]+Table_1[[#This Row],[Column5]]+Table_1[[#This Row],[Column4]]</f>
        <v>40</v>
      </c>
      <c r="I1242" s="38">
        <v>2449.5029999999997</v>
      </c>
      <c r="J1242" s="34">
        <f t="shared" ref="J1242:J1243" si="31">H1242*I1242</f>
        <v>97980.12</v>
      </c>
      <c r="K1242" s="35"/>
      <c r="L1242" s="31"/>
      <c r="M1242" s="31"/>
      <c r="N1242" s="31"/>
      <c r="O1242" s="32" t="s">
        <v>941</v>
      </c>
      <c r="P1242" s="320"/>
    </row>
    <row r="1243" spans="1:16" s="97" customFormat="1" ht="15.5">
      <c r="A1243" s="31" t="s">
        <v>40</v>
      </c>
      <c r="B1243" s="31" t="s">
        <v>969</v>
      </c>
      <c r="C1243" s="32" t="s">
        <v>94</v>
      </c>
      <c r="D1243" s="137"/>
      <c r="E1243" s="133"/>
      <c r="F1243" s="133">
        <v>40</v>
      </c>
      <c r="G1243" s="133"/>
      <c r="H1243" s="67">
        <f>+Table_1[[#This Row],[Column7]]+Table_1[[#This Row],[Column6]]+Table_1[[#This Row],[Column5]]+Table_1[[#This Row],[Column4]]</f>
        <v>40</v>
      </c>
      <c r="I1243" s="38">
        <v>850</v>
      </c>
      <c r="J1243" s="34">
        <f t="shared" si="31"/>
        <v>34000</v>
      </c>
      <c r="K1243" s="35"/>
      <c r="L1243" s="31"/>
      <c r="M1243" s="31"/>
      <c r="N1243" s="31"/>
      <c r="O1243" s="32" t="s">
        <v>941</v>
      </c>
      <c r="P1243" s="320"/>
    </row>
    <row r="1244" spans="1:16" s="97" customFormat="1" ht="15.5">
      <c r="A1244" s="31" t="s">
        <v>40</v>
      </c>
      <c r="B1244" s="31" t="s">
        <v>1170</v>
      </c>
      <c r="C1244" s="32" t="s">
        <v>93</v>
      </c>
      <c r="D1244" s="133"/>
      <c r="E1244" s="137"/>
      <c r="F1244" s="213">
        <v>25</v>
      </c>
      <c r="G1244" s="133"/>
      <c r="H1244" s="67">
        <f>+Table_1[[#This Row],[Column7]]+Table_1[[#This Row],[Column6]]+Table_1[[#This Row],[Column5]]+Table_1[[#This Row],[Column4]]</f>
        <v>25</v>
      </c>
      <c r="I1244" s="38">
        <v>800</v>
      </c>
      <c r="J1244" s="34">
        <f>'PACC GENERAL 2026'!$I1244*'PACC GENERAL 2026'!$H1244</f>
        <v>20000</v>
      </c>
      <c r="K1244" s="35"/>
      <c r="L1244" s="31"/>
      <c r="M1244" s="31"/>
      <c r="N1244" s="31"/>
      <c r="O1244" s="32" t="s">
        <v>434</v>
      </c>
      <c r="P1244" s="320"/>
    </row>
    <row r="1245" spans="1:16" s="97" customFormat="1" ht="15.5">
      <c r="A1245" s="31" t="s">
        <v>40</v>
      </c>
      <c r="B1245" s="31" t="s">
        <v>569</v>
      </c>
      <c r="C1245" s="32" t="s">
        <v>138</v>
      </c>
      <c r="D1245" s="133">
        <v>34</v>
      </c>
      <c r="E1245" s="213"/>
      <c r="F1245" s="133"/>
      <c r="G1245" s="133"/>
      <c r="H1245" s="67">
        <f>+Table_1[[#This Row],[Column7]]+Table_1[[#This Row],[Column6]]+Table_1[[#This Row],[Column5]]+Table_1[[#This Row],[Column4]]</f>
        <v>34</v>
      </c>
      <c r="I1245" s="38">
        <v>35365</v>
      </c>
      <c r="J1245" s="34">
        <f>'PACC GENERAL 2026'!$I1245*'PACC GENERAL 2026'!$H1245</f>
        <v>1202410</v>
      </c>
      <c r="K1245" s="35"/>
      <c r="L1245" s="31"/>
      <c r="M1245" s="31"/>
      <c r="N1245" s="31"/>
      <c r="O1245" s="32" t="s">
        <v>1301</v>
      </c>
      <c r="P1245" s="320"/>
    </row>
    <row r="1246" spans="1:16" s="97" customFormat="1" ht="15.5">
      <c r="A1246" s="31" t="s">
        <v>40</v>
      </c>
      <c r="B1246" s="31" t="s">
        <v>570</v>
      </c>
      <c r="C1246" s="32" t="s">
        <v>138</v>
      </c>
      <c r="D1246" s="133">
        <v>18</v>
      </c>
      <c r="E1246" s="213"/>
      <c r="F1246" s="133"/>
      <c r="G1246" s="133"/>
      <c r="H1246" s="67">
        <f>+Table_1[[#This Row],[Column7]]+Table_1[[#This Row],[Column6]]+Table_1[[#This Row],[Column5]]+Table_1[[#This Row],[Column4]]</f>
        <v>18</v>
      </c>
      <c r="I1246" s="38">
        <v>25360</v>
      </c>
      <c r="J1246" s="34">
        <f>'PACC GENERAL 2026'!$I1246*'PACC GENERAL 2026'!$H1246</f>
        <v>456480</v>
      </c>
      <c r="K1246" s="35"/>
      <c r="L1246" s="31"/>
      <c r="M1246" s="31"/>
      <c r="N1246" s="31"/>
      <c r="O1246" s="32" t="s">
        <v>1301</v>
      </c>
      <c r="P1246" s="320"/>
    </row>
    <row r="1247" spans="1:16" s="97" customFormat="1" ht="15.5">
      <c r="A1247" s="31" t="s">
        <v>40</v>
      </c>
      <c r="B1247" s="31" t="s">
        <v>308</v>
      </c>
      <c r="C1247" s="32" t="s">
        <v>93</v>
      </c>
      <c r="D1247" s="133"/>
      <c r="E1247" s="133"/>
      <c r="F1247" s="133"/>
      <c r="G1247" s="133"/>
      <c r="H1247" s="67">
        <f>+Table_1[[#This Row],[Column7]]+Table_1[[#This Row],[Column6]]+Table_1[[#This Row],[Column5]]+Table_1[[#This Row],[Column4]]</f>
        <v>0</v>
      </c>
      <c r="I1247" s="38">
        <v>10000</v>
      </c>
      <c r="J1247" s="34">
        <f>+'PACC GENERAL 2026'!$H1247*'PACC GENERAL 2026'!$I1247</f>
        <v>0</v>
      </c>
      <c r="K1247" s="35"/>
      <c r="L1247" s="31"/>
      <c r="M1247" s="31"/>
      <c r="N1247" s="32"/>
      <c r="O1247" s="32"/>
    </row>
    <row r="1248" spans="1:16" s="97" customFormat="1" ht="15.75" customHeight="1">
      <c r="A1248" s="9" t="s">
        <v>40</v>
      </c>
      <c r="B1248" s="10" t="s">
        <v>117</v>
      </c>
      <c r="C1248" s="10"/>
      <c r="D1248" s="152"/>
      <c r="E1248" s="152"/>
      <c r="F1248" s="152"/>
      <c r="G1248" s="152"/>
      <c r="H1248" s="111"/>
      <c r="I1248" s="44"/>
      <c r="J1248" s="12"/>
      <c r="K1248" s="13">
        <f>SUM(J1214:J1247)</f>
        <v>14011170.119999999</v>
      </c>
      <c r="L1248" s="10"/>
      <c r="M1248" s="10"/>
      <c r="N1248" s="10"/>
      <c r="O1248" s="73"/>
      <c r="P1248" s="278"/>
    </row>
    <row r="1249" spans="1:16" ht="15.5">
      <c r="A1249" s="36" t="s">
        <v>43</v>
      </c>
      <c r="B1249" s="36" t="s">
        <v>805</v>
      </c>
      <c r="C1249" s="37" t="s">
        <v>94</v>
      </c>
      <c r="D1249" s="138"/>
      <c r="E1249" s="213"/>
      <c r="F1249" s="138"/>
      <c r="G1249" s="138"/>
      <c r="H1249" s="67">
        <f>+Table_1[[#This Row],[Column7]]+Table_1[[#This Row],[Column6]]+Table_1[[#This Row],[Column5]]+Table_1[[#This Row],[Column4]]</f>
        <v>0</v>
      </c>
      <c r="I1249" s="38">
        <v>264000</v>
      </c>
      <c r="J1249" s="34">
        <f>+'PACC GENERAL 2026'!$H1249*'PACC GENERAL 2026'!$I1249</f>
        <v>0</v>
      </c>
      <c r="K1249" s="40"/>
      <c r="L1249" s="37"/>
      <c r="M1249" s="287"/>
      <c r="N1249" s="287"/>
      <c r="O1249" s="32"/>
      <c r="P1249" s="287"/>
    </row>
    <row r="1250" spans="1:16" s="97" customFormat="1" ht="15.5">
      <c r="A1250" s="36" t="s">
        <v>43</v>
      </c>
      <c r="B1250" s="36" t="s">
        <v>804</v>
      </c>
      <c r="C1250" s="37" t="s">
        <v>94</v>
      </c>
      <c r="D1250" s="138">
        <v>15</v>
      </c>
      <c r="E1250" s="213"/>
      <c r="F1250" s="138"/>
      <c r="G1250" s="138"/>
      <c r="H1250" s="67">
        <f>+Table_1[[#This Row],[Column7]]+Table_1[[#This Row],[Column6]]+Table_1[[#This Row],[Column5]]+Table_1[[#This Row],[Column4]]</f>
        <v>15</v>
      </c>
      <c r="I1250" s="38">
        <v>264000</v>
      </c>
      <c r="J1250" s="34">
        <f>+'PACC GENERAL 2026'!$H1250*'PACC GENERAL 2026'!$I1250</f>
        <v>3960000</v>
      </c>
      <c r="K1250" s="40"/>
      <c r="L1250" s="37"/>
      <c r="M1250" s="287"/>
      <c r="N1250" s="287"/>
      <c r="O1250" s="32" t="s">
        <v>1301</v>
      </c>
      <c r="P1250" s="323"/>
    </row>
    <row r="1251" spans="1:16" s="97" customFormat="1" ht="15.5">
      <c r="A1251" s="36" t="s">
        <v>43</v>
      </c>
      <c r="B1251" s="36" t="s">
        <v>805</v>
      </c>
      <c r="C1251" s="37" t="s">
        <v>94</v>
      </c>
      <c r="D1251" s="138">
        <v>50</v>
      </c>
      <c r="E1251" s="213"/>
      <c r="F1251" s="138"/>
      <c r="G1251" s="138"/>
      <c r="H1251" s="67">
        <f>+Table_1[[#This Row],[Column7]]+Table_1[[#This Row],[Column6]]+Table_1[[#This Row],[Column5]]+Table_1[[#This Row],[Column4]]</f>
        <v>50</v>
      </c>
      <c r="I1251" s="38">
        <v>264000</v>
      </c>
      <c r="J1251" s="34">
        <f>+'PACC GENERAL 2026'!$H1251*'PACC GENERAL 2026'!$I1251</f>
        <v>13200000</v>
      </c>
      <c r="K1251" s="40"/>
      <c r="L1251" s="37"/>
      <c r="M1251" s="287"/>
      <c r="N1251" s="287"/>
      <c r="O1251" s="32" t="s">
        <v>1301</v>
      </c>
      <c r="P1251" s="323"/>
    </row>
    <row r="1252" spans="1:16" s="97" customFormat="1" ht="15.5">
      <c r="A1252" s="36" t="s">
        <v>43</v>
      </c>
      <c r="B1252" s="36" t="s">
        <v>806</v>
      </c>
      <c r="C1252" s="37" t="s">
        <v>94</v>
      </c>
      <c r="D1252" s="138">
        <v>10</v>
      </c>
      <c r="E1252" s="213"/>
      <c r="F1252" s="138"/>
      <c r="G1252" s="138"/>
      <c r="H1252" s="67">
        <f>+Table_1[[#This Row],[Column7]]+Table_1[[#This Row],[Column6]]+Table_1[[#This Row],[Column5]]+Table_1[[#This Row],[Column4]]</f>
        <v>10</v>
      </c>
      <c r="I1252" s="38">
        <v>264000</v>
      </c>
      <c r="J1252" s="34">
        <f>+'PACC GENERAL 2026'!$H1252*'PACC GENERAL 2026'!$I1252</f>
        <v>2640000</v>
      </c>
      <c r="K1252" s="40"/>
      <c r="L1252" s="37"/>
      <c r="M1252" s="287"/>
      <c r="N1252" s="287"/>
      <c r="O1252" s="32" t="s">
        <v>1301</v>
      </c>
      <c r="P1252" s="323"/>
    </row>
    <row r="1253" spans="1:16" s="97" customFormat="1" ht="15.5">
      <c r="A1253" s="36" t="s">
        <v>43</v>
      </c>
      <c r="B1253" s="36" t="s">
        <v>617</v>
      </c>
      <c r="C1253" s="37" t="s">
        <v>94</v>
      </c>
      <c r="D1253" s="138">
        <v>2</v>
      </c>
      <c r="E1253" s="213"/>
      <c r="F1253" s="138"/>
      <c r="G1253" s="138"/>
      <c r="H1253" s="67">
        <f>+Table_1[[#This Row],[Column7]]+Table_1[[#This Row],[Column6]]+Table_1[[#This Row],[Column5]]+Table_1[[#This Row],[Column4]]</f>
        <v>2</v>
      </c>
      <c r="I1253" s="38">
        <v>393535.42800000001</v>
      </c>
      <c r="J1253" s="34">
        <f>+'PACC GENERAL 2026'!$H1253*'PACC GENERAL 2026'!$I1253</f>
        <v>787070.85600000003</v>
      </c>
      <c r="K1253" s="40"/>
      <c r="L1253" s="37"/>
      <c r="M1253" s="287"/>
      <c r="N1253" s="287"/>
      <c r="O1253" s="32" t="s">
        <v>1301</v>
      </c>
      <c r="P1253" s="323"/>
    </row>
    <row r="1254" spans="1:16" s="97" customFormat="1" ht="15.5">
      <c r="A1254" s="36" t="s">
        <v>43</v>
      </c>
      <c r="B1254" s="36" t="s">
        <v>1306</v>
      </c>
      <c r="C1254" s="37" t="s">
        <v>94</v>
      </c>
      <c r="D1254" s="138">
        <v>10</v>
      </c>
      <c r="E1254" s="213"/>
      <c r="F1254" s="138"/>
      <c r="G1254" s="138"/>
      <c r="H1254" s="67">
        <f>+Table_1[[#This Row],[Column7]]+Table_1[[#This Row],[Column6]]+Table_1[[#This Row],[Column5]]+Table_1[[#This Row],[Column4]]</f>
        <v>10</v>
      </c>
      <c r="I1254" s="38">
        <v>263998</v>
      </c>
      <c r="J1254" s="34">
        <f>+'PACC GENERAL 2026'!$H1254*'PACC GENERAL 2026'!$I1254</f>
        <v>2639980</v>
      </c>
      <c r="K1254" s="40"/>
      <c r="L1254" s="37"/>
      <c r="M1254" s="287"/>
      <c r="N1254" s="287"/>
      <c r="O1254" s="32" t="s">
        <v>1301</v>
      </c>
      <c r="P1254" s="323"/>
    </row>
    <row r="1255" spans="1:16" s="97" customFormat="1" ht="15.5">
      <c r="A1255" s="36" t="s">
        <v>43</v>
      </c>
      <c r="B1255" s="36" t="s">
        <v>1307</v>
      </c>
      <c r="C1255" s="37" t="s">
        <v>94</v>
      </c>
      <c r="D1255" s="138">
        <v>5</v>
      </c>
      <c r="E1255" s="213"/>
      <c r="F1255" s="138"/>
      <c r="G1255" s="138"/>
      <c r="H1255" s="67">
        <f>+Table_1[[#This Row],[Column7]]+Table_1[[#This Row],[Column6]]+Table_1[[#This Row],[Column5]]+Table_1[[#This Row],[Column4]]</f>
        <v>5</v>
      </c>
      <c r="I1255" s="38">
        <v>263998</v>
      </c>
      <c r="J1255" s="34">
        <f>+'PACC GENERAL 2026'!$H1255*'PACC GENERAL 2026'!$I1255</f>
        <v>1319990</v>
      </c>
      <c r="K1255" s="40"/>
      <c r="L1255" s="37"/>
      <c r="M1255" s="287"/>
      <c r="N1255" s="287"/>
      <c r="O1255" s="32" t="s">
        <v>1301</v>
      </c>
      <c r="P1255" s="323"/>
    </row>
    <row r="1256" spans="1:16" s="97" customFormat="1" ht="15.5">
      <c r="A1256" s="36" t="s">
        <v>43</v>
      </c>
      <c r="B1256" s="36" t="s">
        <v>1308</v>
      </c>
      <c r="C1256" s="37" t="s">
        <v>94</v>
      </c>
      <c r="D1256" s="138">
        <v>2</v>
      </c>
      <c r="E1256" s="213"/>
      <c r="F1256" s="138"/>
      <c r="G1256" s="138"/>
      <c r="H1256" s="67">
        <f>+Table_1[[#This Row],[Column7]]+Table_1[[#This Row],[Column6]]+Table_1[[#This Row],[Column5]]+Table_1[[#This Row],[Column4]]</f>
        <v>2</v>
      </c>
      <c r="I1256" s="38">
        <v>264000</v>
      </c>
      <c r="J1256" s="34">
        <f>+'PACC GENERAL 2026'!$H1256*'PACC GENERAL 2026'!$I1256</f>
        <v>528000</v>
      </c>
      <c r="K1256" s="40"/>
      <c r="L1256" s="37"/>
      <c r="M1256" s="287"/>
      <c r="N1256" s="287"/>
      <c r="O1256" s="32" t="s">
        <v>1301</v>
      </c>
      <c r="P1256" s="323"/>
    </row>
    <row r="1257" spans="1:16" s="97" customFormat="1" ht="15.5">
      <c r="A1257" s="86" t="s">
        <v>43</v>
      </c>
      <c r="B1257" s="134" t="s">
        <v>617</v>
      </c>
      <c r="C1257" s="102" t="s">
        <v>94</v>
      </c>
      <c r="D1257" s="155"/>
      <c r="E1257" s="155"/>
      <c r="F1257" s="155"/>
      <c r="G1257" s="155"/>
      <c r="H1257" s="67">
        <f>+Table_1[[#This Row],[Column7]]+Table_1[[#This Row],[Column6]]+Table_1[[#This Row],[Column5]]+Table_1[[#This Row],[Column4]]</f>
        <v>0</v>
      </c>
      <c r="I1257" s="135">
        <v>393535.42800000001</v>
      </c>
      <c r="J1257" s="34">
        <f>'PACC GENERAL 2026'!$I1257*'PACC GENERAL 2026'!$H1257</f>
        <v>0</v>
      </c>
      <c r="K1257" s="103"/>
      <c r="L1257" s="86"/>
      <c r="M1257" s="86"/>
      <c r="N1257" s="86"/>
      <c r="O1257" s="32"/>
      <c r="P1257" s="320"/>
    </row>
    <row r="1258" spans="1:16" s="97" customFormat="1" ht="15.5">
      <c r="A1258" s="9" t="s">
        <v>43</v>
      </c>
      <c r="B1258" s="10"/>
      <c r="C1258" s="10"/>
      <c r="D1258" s="152"/>
      <c r="E1258" s="152"/>
      <c r="F1258" s="152"/>
      <c r="G1258" s="152"/>
      <c r="H1258" s="111"/>
      <c r="I1258" s="44"/>
      <c r="J1258" s="12"/>
      <c r="K1258" s="13">
        <f>SUM(J1249:J1257)</f>
        <v>25075040.855999999</v>
      </c>
      <c r="L1258" s="10"/>
      <c r="M1258" s="10"/>
      <c r="N1258" s="10"/>
      <c r="O1258" s="73"/>
      <c r="P1258" s="321"/>
    </row>
    <row r="1259" spans="1:16" ht="15.75" customHeight="1">
      <c r="A1259" s="36" t="s">
        <v>41</v>
      </c>
      <c r="B1259" s="36" t="s">
        <v>365</v>
      </c>
      <c r="C1259" s="37" t="s">
        <v>97</v>
      </c>
      <c r="D1259" s="138">
        <v>3750000</v>
      </c>
      <c r="E1259" s="213"/>
      <c r="F1259" s="138"/>
      <c r="G1259" s="138"/>
      <c r="H1259" s="67">
        <f>+Table_1[[#This Row],[Column7]]+Table_1[[#This Row],[Column6]]+Table_1[[#This Row],[Column5]]+Table_1[[#This Row],[Column4]]</f>
        <v>3750000</v>
      </c>
      <c r="I1259" s="38">
        <v>28</v>
      </c>
      <c r="J1259" s="34">
        <f>'PACC GENERAL 2026'!$I1259*'PACC GENERAL 2026'!$H1259</f>
        <v>105000000</v>
      </c>
      <c r="K1259" s="40"/>
      <c r="L1259" s="36"/>
      <c r="M1259" s="36"/>
      <c r="N1259" s="37"/>
      <c r="O1259" s="37" t="s">
        <v>1224</v>
      </c>
      <c r="P1259" s="287"/>
    </row>
    <row r="1260" spans="1:16" s="287" customFormat="1" ht="15.75" customHeight="1">
      <c r="A1260" s="36" t="s">
        <v>41</v>
      </c>
      <c r="B1260" s="36" t="s">
        <v>1309</v>
      </c>
      <c r="C1260" s="37" t="s">
        <v>1310</v>
      </c>
      <c r="D1260" s="138">
        <v>18</v>
      </c>
      <c r="E1260" s="213"/>
      <c r="F1260" s="138"/>
      <c r="G1260" s="138"/>
      <c r="H1260" s="67">
        <f>+Table_1[[#This Row],[Column7]]+Table_1[[#This Row],[Column6]]+Table_1[[#This Row],[Column5]]+Table_1[[#This Row],[Column4]]</f>
        <v>18</v>
      </c>
      <c r="I1260" s="38">
        <v>28875</v>
      </c>
      <c r="J1260" s="34">
        <f>'PACC GENERAL 2026'!$I1260*'PACC GENERAL 2026'!$H1260</f>
        <v>519750</v>
      </c>
      <c r="K1260" s="40"/>
      <c r="L1260" s="36"/>
      <c r="M1260" s="36"/>
      <c r="N1260" s="37"/>
      <c r="O1260" s="37" t="s">
        <v>1224</v>
      </c>
    </row>
    <row r="1261" spans="1:16" s="287" customFormat="1" ht="15.75" customHeight="1">
      <c r="A1261" s="175" t="s">
        <v>41</v>
      </c>
      <c r="B1261" s="175" t="s">
        <v>616</v>
      </c>
      <c r="C1261" s="187" t="s">
        <v>97</v>
      </c>
      <c r="D1261" s="195">
        <v>64800</v>
      </c>
      <c r="E1261" s="295"/>
      <c r="F1261" s="195"/>
      <c r="G1261" s="195"/>
      <c r="H1261" s="67">
        <f>+Table_1[[#This Row],[Column7]]+Table_1[[#This Row],[Column6]]+Table_1[[#This Row],[Column5]]+Table_1[[#This Row],[Column4]]</f>
        <v>64800</v>
      </c>
      <c r="I1261" s="177">
        <v>419.55556000000001</v>
      </c>
      <c r="J1261" s="34">
        <f>'PACC GENERAL 2026'!$I1261*'PACC GENERAL 2026'!$H1261</f>
        <v>27187200.288000003</v>
      </c>
      <c r="K1261" s="204"/>
      <c r="L1261" s="175"/>
      <c r="M1261" s="175"/>
      <c r="N1261" s="187"/>
      <c r="O1261" s="37" t="s">
        <v>1224</v>
      </c>
    </row>
    <row r="1262" spans="1:16" s="287" customFormat="1" ht="15.75" customHeight="1">
      <c r="A1262" s="9" t="s">
        <v>41</v>
      </c>
      <c r="B1262" s="10"/>
      <c r="C1262" s="10"/>
      <c r="D1262" s="152"/>
      <c r="E1262" s="152"/>
      <c r="F1262" s="152"/>
      <c r="G1262" s="152"/>
      <c r="H1262" s="111"/>
      <c r="I1262" s="44"/>
      <c r="J1262" s="12"/>
      <c r="K1262" s="13">
        <f>SUM(J1259:J1261)</f>
        <v>132706950.288</v>
      </c>
      <c r="L1262" s="10"/>
      <c r="M1262" s="10"/>
      <c r="N1262" s="10"/>
      <c r="O1262" s="73"/>
      <c r="P1262" s="278"/>
    </row>
    <row r="1263" spans="1:16" ht="15.75" customHeight="1">
      <c r="A1263" s="31" t="s">
        <v>309</v>
      </c>
      <c r="B1263" s="36" t="s">
        <v>1172</v>
      </c>
      <c r="C1263" s="32" t="s">
        <v>94</v>
      </c>
      <c r="D1263" s="182"/>
      <c r="E1263" s="182">
        <v>50</v>
      </c>
      <c r="F1263" s="133"/>
      <c r="G1263" s="133"/>
      <c r="H1263" s="67">
        <f t="shared" ref="H1263:H1268" si="32">SUM(D1263:G1263)</f>
        <v>50</v>
      </c>
      <c r="I1263" s="38">
        <v>10000</v>
      </c>
      <c r="J1263" s="34">
        <f t="shared" ref="J1263:J1268" si="33">H1263*I1263</f>
        <v>500000</v>
      </c>
      <c r="K1263" s="35"/>
      <c r="L1263" s="31"/>
      <c r="M1263" s="31"/>
      <c r="N1263" s="32"/>
      <c r="O1263" s="32" t="s">
        <v>434</v>
      </c>
      <c r="P1263" s="97"/>
    </row>
    <row r="1264" spans="1:16" s="97" customFormat="1" ht="15.75" customHeight="1">
      <c r="A1264" s="31" t="s">
        <v>309</v>
      </c>
      <c r="B1264" s="31" t="s">
        <v>571</v>
      </c>
      <c r="C1264" s="32" t="s">
        <v>94</v>
      </c>
      <c r="D1264" s="133"/>
      <c r="E1264" s="133">
        <v>20</v>
      </c>
      <c r="F1264" s="133"/>
      <c r="G1264" s="133"/>
      <c r="H1264" s="67">
        <f t="shared" si="32"/>
        <v>20</v>
      </c>
      <c r="I1264" s="38">
        <v>510.05499999999995</v>
      </c>
      <c r="J1264" s="34">
        <f t="shared" si="33"/>
        <v>10201.099999999999</v>
      </c>
      <c r="K1264" s="35"/>
      <c r="L1264" s="32"/>
      <c r="M1264" s="31"/>
      <c r="N1264" s="32"/>
      <c r="O1264" s="32" t="s">
        <v>434</v>
      </c>
      <c r="P1264" s="320"/>
    </row>
    <row r="1265" spans="1:16" s="97" customFormat="1" ht="15.75" customHeight="1">
      <c r="A1265" s="31" t="s">
        <v>309</v>
      </c>
      <c r="B1265" s="31" t="s">
        <v>1173</v>
      </c>
      <c r="C1265" s="32" t="s">
        <v>94</v>
      </c>
      <c r="D1265" s="133"/>
      <c r="E1265" s="133">
        <v>700</v>
      </c>
      <c r="F1265" s="133"/>
      <c r="G1265" s="133"/>
      <c r="H1265" s="67">
        <f t="shared" si="32"/>
        <v>700</v>
      </c>
      <c r="I1265" s="38">
        <v>375.83</v>
      </c>
      <c r="J1265" s="34">
        <f t="shared" si="33"/>
        <v>263081</v>
      </c>
      <c r="K1265" s="35"/>
      <c r="L1265" s="32"/>
      <c r="M1265" s="31"/>
      <c r="N1265" s="32"/>
      <c r="O1265" s="32" t="s">
        <v>434</v>
      </c>
      <c r="P1265" s="320"/>
    </row>
    <row r="1266" spans="1:16" s="97" customFormat="1" ht="15.75" customHeight="1">
      <c r="A1266" s="31" t="s">
        <v>309</v>
      </c>
      <c r="B1266" s="31" t="s">
        <v>321</v>
      </c>
      <c r="C1266" s="32" t="s">
        <v>94</v>
      </c>
      <c r="D1266" s="133"/>
      <c r="E1266" s="133">
        <v>600</v>
      </c>
      <c r="F1266" s="133"/>
      <c r="G1266" s="133"/>
      <c r="H1266" s="67">
        <f t="shared" si="32"/>
        <v>600</v>
      </c>
      <c r="I1266" s="38">
        <v>430</v>
      </c>
      <c r="J1266" s="34">
        <f t="shared" si="33"/>
        <v>258000</v>
      </c>
      <c r="K1266" s="35"/>
      <c r="L1266" s="32"/>
      <c r="M1266" s="31"/>
      <c r="N1266" s="32"/>
      <c r="O1266" s="32" t="s">
        <v>434</v>
      </c>
      <c r="P1266" s="320"/>
    </row>
    <row r="1267" spans="1:16" s="97" customFormat="1" ht="15.75" customHeight="1">
      <c r="A1267" s="31" t="s">
        <v>309</v>
      </c>
      <c r="B1267" s="31" t="s">
        <v>1314</v>
      </c>
      <c r="C1267" s="32" t="s">
        <v>93</v>
      </c>
      <c r="D1267" s="133"/>
      <c r="E1267" s="137"/>
      <c r="F1267" s="133">
        <v>8</v>
      </c>
      <c r="G1267" s="133"/>
      <c r="H1267" s="67">
        <f t="shared" si="32"/>
        <v>8</v>
      </c>
      <c r="I1267" s="38">
        <v>250</v>
      </c>
      <c r="J1267" s="34">
        <f t="shared" si="33"/>
        <v>2000</v>
      </c>
      <c r="K1267" s="35"/>
      <c r="L1267" s="32"/>
      <c r="M1267" s="31"/>
      <c r="N1267" s="32"/>
      <c r="O1267" s="32" t="s">
        <v>1312</v>
      </c>
      <c r="P1267" s="320"/>
    </row>
    <row r="1268" spans="1:16" s="97" customFormat="1" ht="15.75" customHeight="1">
      <c r="A1268" s="31" t="s">
        <v>309</v>
      </c>
      <c r="B1268" s="31" t="s">
        <v>571</v>
      </c>
      <c r="C1268" s="32" t="s">
        <v>94</v>
      </c>
      <c r="D1268" s="133"/>
      <c r="E1268" s="137"/>
      <c r="F1268" s="133">
        <v>4</v>
      </c>
      <c r="G1268" s="133"/>
      <c r="H1268" s="67">
        <f t="shared" si="32"/>
        <v>4</v>
      </c>
      <c r="I1268" s="38">
        <v>510.05499999999995</v>
      </c>
      <c r="J1268" s="34">
        <f t="shared" si="33"/>
        <v>2040.2199999999998</v>
      </c>
      <c r="K1268" s="35"/>
      <c r="L1268" s="32"/>
      <c r="M1268" s="31"/>
      <c r="N1268" s="32"/>
      <c r="O1268" s="32" t="s">
        <v>1312</v>
      </c>
      <c r="P1268" s="320"/>
    </row>
    <row r="1269" spans="1:16" s="97" customFormat="1" ht="15.75" customHeight="1">
      <c r="A1269" s="31" t="s">
        <v>309</v>
      </c>
      <c r="B1269" s="31" t="s">
        <v>321</v>
      </c>
      <c r="C1269" s="32" t="s">
        <v>94</v>
      </c>
      <c r="D1269" s="142"/>
      <c r="E1269" s="142"/>
      <c r="F1269" s="142"/>
      <c r="G1269" s="137"/>
      <c r="H1269" s="67">
        <f>+Table_1[[#This Row],[Column7]]+Table_1[[#This Row],[Column6]]+Table_1[[#This Row],[Column5]]+Table_1[[#This Row],[Column4]]</f>
        <v>0</v>
      </c>
      <c r="I1269" s="38">
        <v>430</v>
      </c>
      <c r="J1269" s="17">
        <f>'PACC GENERAL 2026'!$I1269*'PACC GENERAL 2026'!$H1269</f>
        <v>0</v>
      </c>
      <c r="K1269" s="35"/>
      <c r="L1269" s="31"/>
      <c r="M1269" s="31"/>
      <c r="N1269" s="31"/>
      <c r="O1269" s="32"/>
    </row>
    <row r="1270" spans="1:16" s="97" customFormat="1" ht="15.75" customHeight="1">
      <c r="A1270" s="9" t="s">
        <v>309</v>
      </c>
      <c r="B1270" s="10" t="s">
        <v>117</v>
      </c>
      <c r="C1270" s="10"/>
      <c r="D1270" s="152"/>
      <c r="E1270" s="152"/>
      <c r="F1270" s="152"/>
      <c r="G1270" s="152"/>
      <c r="H1270" s="111"/>
      <c r="I1270" s="44"/>
      <c r="J1270" s="12"/>
      <c r="K1270" s="13">
        <f>SUM(J1263:J1269)</f>
        <v>1035322.32</v>
      </c>
      <c r="L1270" s="10"/>
      <c r="M1270" s="10"/>
      <c r="N1270" s="10"/>
      <c r="O1270" s="73"/>
      <c r="P1270" s="278"/>
    </row>
    <row r="1271" spans="1:16" ht="15.75" customHeight="1">
      <c r="A1271" s="31" t="s">
        <v>42</v>
      </c>
      <c r="B1271" s="31" t="s">
        <v>318</v>
      </c>
      <c r="C1271" s="32" t="s">
        <v>148</v>
      </c>
      <c r="D1271" s="133"/>
      <c r="E1271" s="137"/>
      <c r="F1271" s="133"/>
      <c r="G1271" s="133"/>
      <c r="H1271" s="67">
        <f>+Table_1[[#This Row],[Column7]]+Table_1[[#This Row],[Column6]]+Table_1[[#This Row],[Column5]]+Table_1[[#This Row],[Column4]]</f>
        <v>0</v>
      </c>
      <c r="I1271" s="38">
        <v>1500</v>
      </c>
      <c r="J1271" s="34">
        <f>'PACC GENERAL 2026'!$I1271*'PACC GENERAL 2026'!$H1271</f>
        <v>0</v>
      </c>
      <c r="K1271" s="35"/>
      <c r="L1271" s="31"/>
      <c r="M1271" s="31"/>
      <c r="N1271" s="31"/>
      <c r="O1271" s="32"/>
      <c r="P1271" s="320"/>
    </row>
    <row r="1272" spans="1:16" s="97" customFormat="1" ht="15.75" customHeight="1">
      <c r="A1272" s="31" t="s">
        <v>42</v>
      </c>
      <c r="B1272" s="31" t="s">
        <v>145</v>
      </c>
      <c r="C1272" s="32" t="s">
        <v>94</v>
      </c>
      <c r="D1272" s="142"/>
      <c r="E1272" s="142">
        <v>50</v>
      </c>
      <c r="F1272" s="142"/>
      <c r="G1272" s="133"/>
      <c r="H1272" s="67">
        <f>+Table_1[[#This Row],[Column7]]+Table_1[[#This Row],[Column6]]+Table_1[[#This Row],[Column5]]+Table_1[[#This Row],[Column4]]</f>
        <v>50</v>
      </c>
      <c r="I1272" s="38">
        <v>200</v>
      </c>
      <c r="J1272" s="34">
        <f>'PACC GENERAL 2026'!$I1272*'PACC GENERAL 2026'!$H1272</f>
        <v>10000</v>
      </c>
      <c r="K1272" s="35"/>
      <c r="L1272" s="31"/>
      <c r="M1272" s="31"/>
      <c r="N1272" s="31"/>
      <c r="O1272" s="32" t="s">
        <v>434</v>
      </c>
    </row>
    <row r="1273" spans="1:16" s="97" customFormat="1" ht="15.75" customHeight="1">
      <c r="A1273" s="31" t="s">
        <v>42</v>
      </c>
      <c r="B1273" s="31" t="s">
        <v>310</v>
      </c>
      <c r="C1273" s="32" t="s">
        <v>94</v>
      </c>
      <c r="D1273" s="142"/>
      <c r="E1273" s="142">
        <v>30</v>
      </c>
      <c r="F1273" s="142"/>
      <c r="G1273" s="133"/>
      <c r="H1273" s="67">
        <f>+Table_1[[#This Row],[Column7]]+Table_1[[#This Row],[Column6]]+Table_1[[#This Row],[Column5]]+Table_1[[#This Row],[Column4]]</f>
        <v>30</v>
      </c>
      <c r="I1273" s="38">
        <v>150</v>
      </c>
      <c r="J1273" s="34">
        <f>'PACC GENERAL 2026'!$I1273*'PACC GENERAL 2026'!$H1273</f>
        <v>4500</v>
      </c>
      <c r="K1273" s="35"/>
      <c r="L1273" s="31"/>
      <c r="M1273" s="31"/>
      <c r="N1273" s="31"/>
      <c r="O1273" s="32" t="s">
        <v>434</v>
      </c>
    </row>
    <row r="1274" spans="1:16" s="97" customFormat="1" ht="15.75" customHeight="1">
      <c r="A1274" s="31" t="s">
        <v>42</v>
      </c>
      <c r="B1274" s="31" t="s">
        <v>311</v>
      </c>
      <c r="C1274" s="32" t="s">
        <v>94</v>
      </c>
      <c r="D1274" s="142"/>
      <c r="E1274" s="142">
        <v>30</v>
      </c>
      <c r="F1274" s="142">
        <v>10</v>
      </c>
      <c r="G1274" s="133"/>
      <c r="H1274" s="67">
        <f>+Table_1[[#This Row],[Column7]]+Table_1[[#This Row],[Column6]]+Table_1[[#This Row],[Column5]]+Table_1[[#This Row],[Column4]]</f>
        <v>40</v>
      </c>
      <c r="I1274" s="38">
        <v>175</v>
      </c>
      <c r="J1274" s="34">
        <f>'PACC GENERAL 2026'!$I1274*'PACC GENERAL 2026'!$H1274</f>
        <v>7000</v>
      </c>
      <c r="K1274" s="35"/>
      <c r="L1274" s="31"/>
      <c r="M1274" s="31"/>
      <c r="N1274" s="31"/>
      <c r="O1274" s="32" t="s">
        <v>1518</v>
      </c>
    </row>
    <row r="1275" spans="1:16" s="97" customFormat="1" ht="15.75" customHeight="1">
      <c r="A1275" s="31" t="s">
        <v>42</v>
      </c>
      <c r="B1275" s="31" t="s">
        <v>311</v>
      </c>
      <c r="C1275" s="32" t="s">
        <v>94</v>
      </c>
      <c r="D1275" s="142"/>
      <c r="E1275" s="137"/>
      <c r="F1275" s="137"/>
      <c r="G1275" s="133"/>
      <c r="H1275" s="67">
        <f>+Table_1[[#This Row],[Column7]]+Table_1[[#This Row],[Column6]]+Table_1[[#This Row],[Column5]]+Table_1[[#This Row],[Column4]]</f>
        <v>0</v>
      </c>
      <c r="I1275" s="38">
        <v>140</v>
      </c>
      <c r="J1275" s="34">
        <f>'PACC GENERAL 2026'!$I1275*'PACC GENERAL 2026'!$H1275</f>
        <v>0</v>
      </c>
      <c r="K1275" s="35"/>
      <c r="L1275" s="31"/>
      <c r="M1275" s="31"/>
      <c r="N1275" s="32"/>
      <c r="O1275" s="32"/>
    </row>
    <row r="1276" spans="1:16" s="97" customFormat="1" ht="15.75" customHeight="1">
      <c r="A1276" s="31" t="s">
        <v>42</v>
      </c>
      <c r="B1276" s="31" t="s">
        <v>1174</v>
      </c>
      <c r="C1276" s="32" t="s">
        <v>94</v>
      </c>
      <c r="D1276" s="142"/>
      <c r="E1276" s="142">
        <v>15</v>
      </c>
      <c r="F1276" s="142"/>
      <c r="G1276" s="133"/>
      <c r="H1276" s="67">
        <f>+Table_1[[#This Row],[Column7]]+Table_1[[#This Row],[Column6]]+Table_1[[#This Row],[Column5]]+Table_1[[#This Row],[Column4]]</f>
        <v>15</v>
      </c>
      <c r="I1276" s="38">
        <v>225</v>
      </c>
      <c r="J1276" s="34">
        <f>'PACC GENERAL 2026'!$I1276*'PACC GENERAL 2026'!$H1276</f>
        <v>3375</v>
      </c>
      <c r="K1276" s="35"/>
      <c r="L1276" s="31"/>
      <c r="M1276" s="31"/>
      <c r="N1276" s="31"/>
      <c r="O1276" s="32" t="s">
        <v>434</v>
      </c>
    </row>
    <row r="1277" spans="1:16" s="97" customFormat="1" ht="15.75" customHeight="1">
      <c r="A1277" s="31" t="s">
        <v>42</v>
      </c>
      <c r="B1277" s="31" t="s">
        <v>1175</v>
      </c>
      <c r="C1277" s="32" t="s">
        <v>94</v>
      </c>
      <c r="D1277" s="142"/>
      <c r="E1277" s="142">
        <v>100</v>
      </c>
      <c r="F1277" s="142"/>
      <c r="G1277" s="133"/>
      <c r="H1277" s="67">
        <f>+Table_1[[#This Row],[Column7]]+Table_1[[#This Row],[Column6]]+Table_1[[#This Row],[Column5]]+Table_1[[#This Row],[Column4]]</f>
        <v>100</v>
      </c>
      <c r="I1277" s="38">
        <v>200</v>
      </c>
      <c r="J1277" s="34">
        <f>'PACC GENERAL 2026'!$I1277*'PACC GENERAL 2026'!$H1277</f>
        <v>20000</v>
      </c>
      <c r="K1277" s="35"/>
      <c r="L1277" s="31"/>
      <c r="M1277" s="31"/>
      <c r="N1277" s="31"/>
      <c r="O1277" s="32" t="s">
        <v>434</v>
      </c>
    </row>
    <row r="1278" spans="1:16" s="97" customFormat="1" ht="15.75" customHeight="1">
      <c r="A1278" s="31" t="s">
        <v>42</v>
      </c>
      <c r="B1278" s="31" t="s">
        <v>312</v>
      </c>
      <c r="C1278" s="32" t="s">
        <v>133</v>
      </c>
      <c r="D1278" s="142"/>
      <c r="E1278" s="142">
        <v>100</v>
      </c>
      <c r="F1278" s="142"/>
      <c r="G1278" s="133">
        <v>100</v>
      </c>
      <c r="H1278" s="67">
        <f>+Table_1[[#This Row],[Column7]]+Table_1[[#This Row],[Column6]]+Table_1[[#This Row],[Column5]]+Table_1[[#This Row],[Column4]]</f>
        <v>200</v>
      </c>
      <c r="I1278" s="38">
        <v>250</v>
      </c>
      <c r="J1278" s="34">
        <f>'PACC GENERAL 2026'!$I1278*'PACC GENERAL 2026'!$H1278</f>
        <v>50000</v>
      </c>
      <c r="K1278" s="35"/>
      <c r="L1278" s="31"/>
      <c r="M1278" s="31"/>
      <c r="N1278" s="31"/>
      <c r="O1278" s="32" t="s">
        <v>434</v>
      </c>
    </row>
    <row r="1279" spans="1:16" s="97" customFormat="1" ht="15.75" customHeight="1">
      <c r="A1279" s="31" t="s">
        <v>42</v>
      </c>
      <c r="B1279" s="31" t="s">
        <v>313</v>
      </c>
      <c r="C1279" s="32" t="s">
        <v>94</v>
      </c>
      <c r="D1279" s="142"/>
      <c r="E1279" s="142">
        <v>150</v>
      </c>
      <c r="F1279" s="142"/>
      <c r="G1279" s="133"/>
      <c r="H1279" s="67">
        <f>+Table_1[[#This Row],[Column7]]+Table_1[[#This Row],[Column6]]+Table_1[[#This Row],[Column5]]+Table_1[[#This Row],[Column4]]</f>
        <v>150</v>
      </c>
      <c r="I1279" s="38">
        <v>225</v>
      </c>
      <c r="J1279" s="34">
        <f>'PACC GENERAL 2026'!$I1279*'PACC GENERAL 2026'!$H1279</f>
        <v>33750</v>
      </c>
      <c r="K1279" s="35"/>
      <c r="L1279" s="31"/>
      <c r="M1279" s="31"/>
      <c r="N1279" s="31"/>
      <c r="O1279" s="32" t="s">
        <v>434</v>
      </c>
    </row>
    <row r="1280" spans="1:16" s="97" customFormat="1" ht="15.75" customHeight="1">
      <c r="A1280" s="48" t="s">
        <v>42</v>
      </c>
      <c r="B1280" s="48" t="s">
        <v>314</v>
      </c>
      <c r="C1280" s="63" t="s">
        <v>106</v>
      </c>
      <c r="D1280" s="142"/>
      <c r="E1280" s="142">
        <v>300</v>
      </c>
      <c r="F1280" s="137"/>
      <c r="G1280" s="155">
        <v>300</v>
      </c>
      <c r="H1280" s="67">
        <f>+Table_1[[#This Row],[Column7]]+Table_1[[#This Row],[Column6]]+Table_1[[#This Row],[Column5]]+Table_1[[#This Row],[Column4]]</f>
        <v>600</v>
      </c>
      <c r="I1280" s="77">
        <v>125</v>
      </c>
      <c r="J1280" s="34">
        <f>'PACC GENERAL 2026'!$I1280*'PACC GENERAL 2026'!$H1280</f>
        <v>75000</v>
      </c>
      <c r="K1280" s="35"/>
      <c r="L1280" s="31"/>
      <c r="M1280" s="31"/>
      <c r="N1280" s="31"/>
      <c r="O1280" s="32" t="s">
        <v>434</v>
      </c>
    </row>
    <row r="1281" spans="1:16" s="97" customFormat="1" ht="15.75" customHeight="1">
      <c r="A1281" s="31" t="s">
        <v>42</v>
      </c>
      <c r="B1281" s="31" t="s">
        <v>315</v>
      </c>
      <c r="C1281" s="32" t="s">
        <v>316</v>
      </c>
      <c r="D1281" s="142"/>
      <c r="E1281" s="142">
        <v>100</v>
      </c>
      <c r="F1281" s="137"/>
      <c r="G1281" s="133">
        <v>100</v>
      </c>
      <c r="H1281" s="67">
        <f>+Table_1[[#This Row],[Column7]]+Table_1[[#This Row],[Column6]]+Table_1[[#This Row],[Column5]]+Table_1[[#This Row],[Column4]]</f>
        <v>200</v>
      </c>
      <c r="I1281" s="38">
        <v>175</v>
      </c>
      <c r="J1281" s="34">
        <f>'PACC GENERAL 2026'!$I1281*'PACC GENERAL 2026'!$H1281</f>
        <v>35000</v>
      </c>
      <c r="K1281" s="35"/>
      <c r="L1281" s="31"/>
      <c r="M1281" s="31"/>
      <c r="N1281" s="31"/>
      <c r="O1281" s="32" t="s">
        <v>434</v>
      </c>
    </row>
    <row r="1282" spans="1:16" s="97" customFormat="1" ht="15.75" customHeight="1">
      <c r="A1282" s="31" t="s">
        <v>42</v>
      </c>
      <c r="B1282" s="31" t="s">
        <v>1176</v>
      </c>
      <c r="C1282" s="32" t="s">
        <v>148</v>
      </c>
      <c r="D1282" s="142"/>
      <c r="E1282" s="142">
        <v>300</v>
      </c>
      <c r="F1282" s="137"/>
      <c r="G1282" s="133">
        <v>200</v>
      </c>
      <c r="H1282" s="67">
        <f>+Table_1[[#This Row],[Column7]]+Table_1[[#This Row],[Column6]]+Table_1[[#This Row],[Column5]]+Table_1[[#This Row],[Column4]]</f>
        <v>500</v>
      </c>
      <c r="I1282" s="38">
        <v>175</v>
      </c>
      <c r="J1282" s="34">
        <f>'PACC GENERAL 2026'!$I1282*'PACC GENERAL 2026'!$H1282</f>
        <v>87500</v>
      </c>
      <c r="K1282" s="35"/>
      <c r="L1282" s="31"/>
      <c r="M1282" s="31"/>
      <c r="N1282" s="31"/>
      <c r="O1282" s="32" t="s">
        <v>434</v>
      </c>
    </row>
    <row r="1283" spans="1:16" s="97" customFormat="1" ht="15.75" customHeight="1">
      <c r="A1283" s="31" t="s">
        <v>42</v>
      </c>
      <c r="B1283" s="31" t="s">
        <v>317</v>
      </c>
      <c r="C1283" s="32" t="s">
        <v>148</v>
      </c>
      <c r="D1283" s="142"/>
      <c r="E1283" s="142">
        <v>400</v>
      </c>
      <c r="F1283" s="137">
        <v>20</v>
      </c>
      <c r="G1283" s="133">
        <v>400</v>
      </c>
      <c r="H1283" s="67">
        <f>+Table_1[[#This Row],[Column7]]+Table_1[[#This Row],[Column6]]+Table_1[[#This Row],[Column5]]+Table_1[[#This Row],[Column4]]</f>
        <v>820</v>
      </c>
      <c r="I1283" s="38">
        <v>300</v>
      </c>
      <c r="J1283" s="34">
        <f>'PACC GENERAL 2026'!$I1283*'PACC GENERAL 2026'!$H1283</f>
        <v>246000</v>
      </c>
      <c r="K1283" s="35"/>
      <c r="L1283" s="31"/>
      <c r="M1283" s="31"/>
      <c r="N1283" s="31"/>
      <c r="O1283" s="32" t="s">
        <v>1467</v>
      </c>
    </row>
    <row r="1284" spans="1:16" s="97" customFormat="1" ht="15.75" customHeight="1">
      <c r="A1284" s="31" t="s">
        <v>42</v>
      </c>
      <c r="B1284" s="31" t="s">
        <v>317</v>
      </c>
      <c r="C1284" s="32" t="s">
        <v>148</v>
      </c>
      <c r="D1284" s="142"/>
      <c r="E1284" s="142"/>
      <c r="F1284" s="137"/>
      <c r="G1284" s="133"/>
      <c r="H1284" s="67">
        <f>+Table_1[[#This Row],[Column7]]+Table_1[[#This Row],[Column6]]+Table_1[[#This Row],[Column5]]+Table_1[[#This Row],[Column4]]</f>
        <v>0</v>
      </c>
      <c r="I1284" s="38">
        <v>450</v>
      </c>
      <c r="J1284" s="34">
        <f>'PACC GENERAL 2026'!$I1284*'PACC GENERAL 2026'!$H1284</f>
        <v>0</v>
      </c>
      <c r="K1284" s="35"/>
      <c r="L1284" s="31"/>
      <c r="M1284" s="31"/>
      <c r="N1284" s="32"/>
      <c r="O1284" s="32"/>
    </row>
    <row r="1285" spans="1:16" s="97" customFormat="1" ht="15.75" customHeight="1">
      <c r="A1285" s="31" t="s">
        <v>42</v>
      </c>
      <c r="B1285" s="31" t="s">
        <v>385</v>
      </c>
      <c r="C1285" s="32" t="s">
        <v>94</v>
      </c>
      <c r="D1285" s="142"/>
      <c r="E1285" s="142">
        <v>200</v>
      </c>
      <c r="F1285" s="137">
        <v>48</v>
      </c>
      <c r="G1285" s="133">
        <v>200</v>
      </c>
      <c r="H1285" s="67">
        <f>+Table_1[[#This Row],[Column7]]+Table_1[[#This Row],[Column6]]+Table_1[[#This Row],[Column5]]+Table_1[[#This Row],[Column4]]</f>
        <v>448</v>
      </c>
      <c r="I1285" s="38">
        <v>150</v>
      </c>
      <c r="J1285" s="34">
        <f>'PACC GENERAL 2026'!$I1285*'PACC GENERAL 2026'!$H1285</f>
        <v>67200</v>
      </c>
      <c r="K1285" s="35"/>
      <c r="L1285" s="31"/>
      <c r="M1285" s="31"/>
      <c r="N1285" s="31"/>
      <c r="O1285" s="32" t="s">
        <v>1468</v>
      </c>
    </row>
    <row r="1286" spans="1:16" s="97" customFormat="1" ht="15.75" customHeight="1">
      <c r="A1286" s="31" t="s">
        <v>42</v>
      </c>
      <c r="B1286" s="31" t="s">
        <v>385</v>
      </c>
      <c r="C1286" s="32" t="s">
        <v>94</v>
      </c>
      <c r="D1286" s="142"/>
      <c r="E1286" s="142"/>
      <c r="F1286" s="137"/>
      <c r="G1286" s="133"/>
      <c r="H1286" s="67">
        <f>+Table_1[[#This Row],[Column7]]+Table_1[[#This Row],[Column6]]+Table_1[[#This Row],[Column5]]+Table_1[[#This Row],[Column4]]</f>
        <v>0</v>
      </c>
      <c r="I1286" s="38">
        <v>100</v>
      </c>
      <c r="J1286" s="34">
        <f>'PACC GENERAL 2026'!$I1286*'PACC GENERAL 2026'!$H1286</f>
        <v>0</v>
      </c>
      <c r="K1286" s="35"/>
      <c r="L1286" s="31"/>
      <c r="M1286" s="31"/>
      <c r="N1286" s="31"/>
      <c r="O1286" s="32" t="s">
        <v>1312</v>
      </c>
    </row>
    <row r="1287" spans="1:16" s="97" customFormat="1" ht="15.75" customHeight="1">
      <c r="A1287" s="31" t="s">
        <v>42</v>
      </c>
      <c r="B1287" s="31" t="s">
        <v>1177</v>
      </c>
      <c r="C1287" s="32" t="s">
        <v>1178</v>
      </c>
      <c r="D1287" s="142"/>
      <c r="E1287" s="142">
        <v>150</v>
      </c>
      <c r="F1287" s="137"/>
      <c r="G1287" s="133">
        <v>150</v>
      </c>
      <c r="H1287" s="67">
        <f>+Table_1[[#This Row],[Column7]]+Table_1[[#This Row],[Column6]]+Table_1[[#This Row],[Column5]]+Table_1[[#This Row],[Column4]]</f>
        <v>300</v>
      </c>
      <c r="I1287" s="38">
        <v>1500</v>
      </c>
      <c r="J1287" s="34">
        <f>'PACC GENERAL 2026'!$I1287*'PACC GENERAL 2026'!$H1287</f>
        <v>450000</v>
      </c>
      <c r="K1287" s="35"/>
      <c r="L1287" s="31"/>
      <c r="M1287" s="31"/>
      <c r="N1287" s="31"/>
      <c r="O1287" s="32" t="s">
        <v>434</v>
      </c>
    </row>
    <row r="1288" spans="1:16" s="97" customFormat="1" ht="15.5">
      <c r="A1288" s="31" t="s">
        <v>42</v>
      </c>
      <c r="B1288" s="31" t="s">
        <v>319</v>
      </c>
      <c r="C1288" s="32" t="s">
        <v>148</v>
      </c>
      <c r="D1288" s="142"/>
      <c r="E1288" s="142">
        <v>500</v>
      </c>
      <c r="F1288" s="137"/>
      <c r="G1288" s="133">
        <v>500</v>
      </c>
      <c r="H1288" s="67">
        <f>+Table_1[[#This Row],[Column7]]+Table_1[[#This Row],[Column6]]+Table_1[[#This Row],[Column5]]+Table_1[[#This Row],[Column4]]</f>
        <v>1000</v>
      </c>
      <c r="I1288" s="38">
        <v>150</v>
      </c>
      <c r="J1288" s="34">
        <f>'PACC GENERAL 2026'!$I1288*'PACC GENERAL 2026'!$H1288</f>
        <v>150000</v>
      </c>
      <c r="K1288" s="35"/>
      <c r="L1288" s="31"/>
      <c r="M1288" s="31"/>
      <c r="N1288" s="31"/>
      <c r="O1288" s="32" t="s">
        <v>434</v>
      </c>
    </row>
    <row r="1289" spans="1:16" s="97" customFormat="1" ht="15.75" customHeight="1">
      <c r="A1289" s="48" t="s">
        <v>42</v>
      </c>
      <c r="B1289" s="48" t="s">
        <v>637</v>
      </c>
      <c r="C1289" s="63" t="s">
        <v>94</v>
      </c>
      <c r="D1289" s="142"/>
      <c r="E1289" s="142">
        <v>20</v>
      </c>
      <c r="F1289" s="137"/>
      <c r="G1289" s="155">
        <v>20</v>
      </c>
      <c r="H1289" s="67">
        <f>+Table_1[[#This Row],[Column7]]+Table_1[[#This Row],[Column6]]+Table_1[[#This Row],[Column5]]+Table_1[[#This Row],[Column4]]</f>
        <v>40</v>
      </c>
      <c r="I1289" s="77">
        <v>425</v>
      </c>
      <c r="J1289" s="34">
        <f>'PACC GENERAL 2026'!$I1289*'PACC GENERAL 2026'!$H1289</f>
        <v>17000</v>
      </c>
      <c r="K1289" s="35"/>
      <c r="L1289" s="31"/>
      <c r="M1289" s="31"/>
      <c r="N1289" s="32"/>
      <c r="O1289" s="32" t="s">
        <v>434</v>
      </c>
    </row>
    <row r="1290" spans="1:16" s="97" customFormat="1" ht="15.75" customHeight="1">
      <c r="A1290" s="31" t="s">
        <v>42</v>
      </c>
      <c r="B1290" s="31" t="s">
        <v>320</v>
      </c>
      <c r="C1290" s="32" t="s">
        <v>106</v>
      </c>
      <c r="D1290" s="142"/>
      <c r="E1290" s="142">
        <v>20</v>
      </c>
      <c r="F1290" s="137"/>
      <c r="G1290" s="133">
        <v>20</v>
      </c>
      <c r="H1290" s="67">
        <f>+Table_1[[#This Row],[Column7]]+Table_1[[#This Row],[Column6]]+Table_1[[#This Row],[Column5]]+Table_1[[#This Row],[Column4]]</f>
        <v>40</v>
      </c>
      <c r="I1290" s="38">
        <v>175</v>
      </c>
      <c r="J1290" s="34">
        <f>'PACC GENERAL 2026'!$I1290*'PACC GENERAL 2026'!$H1290</f>
        <v>7000</v>
      </c>
      <c r="K1290" s="35"/>
      <c r="L1290" s="31"/>
      <c r="M1290" s="31"/>
      <c r="N1290" s="31"/>
      <c r="O1290" s="32" t="s">
        <v>434</v>
      </c>
    </row>
    <row r="1291" spans="1:16" s="97" customFormat="1" ht="15.75" customHeight="1">
      <c r="A1291" s="31" t="s">
        <v>42</v>
      </c>
      <c r="B1291" s="31" t="s">
        <v>318</v>
      </c>
      <c r="C1291" s="32" t="s">
        <v>148</v>
      </c>
      <c r="D1291" s="142"/>
      <c r="E1291" s="142"/>
      <c r="F1291" s="137"/>
      <c r="G1291" s="133"/>
      <c r="H1291" s="67">
        <f>+Table_1[[#This Row],[Column7]]+Table_1[[#This Row],[Column6]]+Table_1[[#This Row],[Column5]]+Table_1[[#This Row],[Column4]]</f>
        <v>0</v>
      </c>
      <c r="I1291" s="38">
        <v>590</v>
      </c>
      <c r="J1291" s="34">
        <f>'PACC GENERAL 2026'!$I1291*'PACC GENERAL 2026'!$H1291</f>
        <v>0</v>
      </c>
      <c r="K1291" s="35"/>
      <c r="L1291" s="31"/>
      <c r="M1291" s="31"/>
      <c r="N1291" s="31"/>
      <c r="O1291" s="32"/>
    </row>
    <row r="1292" spans="1:16" s="97" customFormat="1" ht="16.5" customHeight="1">
      <c r="A1292" s="31" t="s">
        <v>42</v>
      </c>
      <c r="B1292" s="31" t="s">
        <v>637</v>
      </c>
      <c r="C1292" s="32" t="s">
        <v>94</v>
      </c>
      <c r="D1292" s="142"/>
      <c r="E1292" s="142"/>
      <c r="F1292" s="137"/>
      <c r="G1292" s="133"/>
      <c r="H1292" s="67">
        <f>+Table_1[[#This Row],[Column7]]+Table_1[[#This Row],[Column6]]+Table_1[[#This Row],[Column5]]+Table_1[[#This Row],[Column4]]</f>
        <v>0</v>
      </c>
      <c r="I1292" s="38">
        <v>150</v>
      </c>
      <c r="J1292" s="34">
        <f>'PACC GENERAL 2026'!$I1292*'PACC GENERAL 2026'!$H1292</f>
        <v>0</v>
      </c>
      <c r="K1292" s="35"/>
      <c r="L1292" s="31"/>
      <c r="M1292" s="31"/>
      <c r="N1292" s="31"/>
      <c r="O1292" s="32"/>
    </row>
    <row r="1293" spans="1:16" s="97" customFormat="1" ht="16.5" customHeight="1">
      <c r="A1293" s="31" t="s">
        <v>42</v>
      </c>
      <c r="B1293" s="31" t="s">
        <v>322</v>
      </c>
      <c r="C1293" s="32" t="s">
        <v>93</v>
      </c>
      <c r="D1293" s="142"/>
      <c r="E1293" s="142"/>
      <c r="F1293" s="137"/>
      <c r="G1293" s="133"/>
      <c r="H1293" s="67">
        <f>+Table_1[[#This Row],[Column7]]+Table_1[[#This Row],[Column6]]+Table_1[[#This Row],[Column5]]+Table_1[[#This Row],[Column4]]</f>
        <v>0</v>
      </c>
      <c r="I1293" s="38">
        <v>150</v>
      </c>
      <c r="J1293" s="17">
        <f>'PACC GENERAL 2026'!$I1293*'PACC GENERAL 2026'!$H1293</f>
        <v>0</v>
      </c>
      <c r="K1293" s="35"/>
      <c r="L1293" s="31"/>
      <c r="M1293" s="31"/>
      <c r="N1293" s="31"/>
      <c r="O1293" s="32"/>
    </row>
    <row r="1294" spans="1:16" s="97" customFormat="1" ht="15.75" customHeight="1">
      <c r="A1294" s="9" t="s">
        <v>42</v>
      </c>
      <c r="B1294" s="10" t="s">
        <v>117</v>
      </c>
      <c r="C1294" s="10"/>
      <c r="D1294" s="152"/>
      <c r="E1294" s="152"/>
      <c r="F1294" s="152"/>
      <c r="G1294" s="152"/>
      <c r="H1294" s="111"/>
      <c r="I1294" s="44"/>
      <c r="J1294" s="12"/>
      <c r="K1294" s="13">
        <f>SUM(J1271:J1293)</f>
        <v>1263325</v>
      </c>
      <c r="L1294" s="10"/>
      <c r="M1294" s="10"/>
      <c r="N1294" s="10"/>
      <c r="O1294" s="73"/>
      <c r="P1294" s="278"/>
    </row>
    <row r="1295" spans="1:16" ht="15.75" customHeight="1">
      <c r="A1295" s="31" t="s">
        <v>619</v>
      </c>
      <c r="B1295" s="31" t="s">
        <v>411</v>
      </c>
      <c r="C1295" s="32" t="s">
        <v>93</v>
      </c>
      <c r="D1295" s="133"/>
      <c r="E1295" s="133"/>
      <c r="F1295" s="133"/>
      <c r="G1295" s="133"/>
      <c r="H1295" s="67">
        <f>+Table_1[[#This Row],[Column7]]+Table_1[[#This Row],[Column6]]+Table_1[[#This Row],[Column5]]+Table_1[[#This Row],[Column4]]</f>
        <v>0</v>
      </c>
      <c r="I1295" s="38">
        <v>2000</v>
      </c>
      <c r="J1295" s="34">
        <f>'PACC GENERAL 2026'!$I1295*'PACC GENERAL 2026'!$H1295</f>
        <v>0</v>
      </c>
      <c r="K1295" s="35"/>
      <c r="L1295" s="32"/>
      <c r="M1295" s="86"/>
      <c r="N1295" s="86"/>
      <c r="O1295" s="63"/>
      <c r="P1295" s="320"/>
    </row>
    <row r="1296" spans="1:16" s="97" customFormat="1" ht="15.5">
      <c r="A1296" s="85" t="s">
        <v>619</v>
      </c>
      <c r="B1296" s="10"/>
      <c r="C1296" s="10"/>
      <c r="D1296" s="152"/>
      <c r="E1296" s="152"/>
      <c r="F1296" s="152"/>
      <c r="G1296" s="152"/>
      <c r="H1296" s="111"/>
      <c r="I1296" s="44"/>
      <c r="J1296" s="83"/>
      <c r="K1296" s="13">
        <f>+J1295</f>
        <v>0</v>
      </c>
      <c r="L1296" s="93"/>
      <c r="M1296" s="10"/>
      <c r="N1296" s="10"/>
      <c r="O1296" s="73"/>
      <c r="P1296" s="321"/>
    </row>
    <row r="1297" spans="1:16" ht="15.5">
      <c r="A1297" s="55" t="s">
        <v>450</v>
      </c>
      <c r="B1297" s="77" t="s">
        <v>451</v>
      </c>
      <c r="C1297" s="32" t="s">
        <v>93</v>
      </c>
      <c r="D1297" s="143"/>
      <c r="E1297" s="142">
        <v>300</v>
      </c>
      <c r="G1297" s="143">
        <v>500</v>
      </c>
      <c r="H1297" s="67">
        <f>+Table_1[[#This Row],[Column7]]+Table_1[[#This Row],[Column6]]+Table_1[[#This Row],[Column5]]+Table_1[[#This Row],[Column4]]</f>
        <v>800</v>
      </c>
      <c r="I1297" s="38">
        <v>195</v>
      </c>
      <c r="J1297" s="34">
        <f>'PACC GENERAL 2026'!$I1297*'PACC GENERAL 2026'!$H1297</f>
        <v>156000</v>
      </c>
      <c r="K1297" s="79"/>
      <c r="L1297" s="31"/>
      <c r="M1297" s="31"/>
      <c r="N1297" s="31"/>
      <c r="O1297" s="32" t="s">
        <v>434</v>
      </c>
      <c r="P1297" s="97"/>
    </row>
    <row r="1298" spans="1:16" s="97" customFormat="1" ht="15.75" customHeight="1">
      <c r="A1298" s="55" t="s">
        <v>450</v>
      </c>
      <c r="B1298" s="77" t="s">
        <v>452</v>
      </c>
      <c r="C1298" s="32" t="s">
        <v>93</v>
      </c>
      <c r="D1298" s="143"/>
      <c r="E1298" s="142">
        <v>900</v>
      </c>
      <c r="F1298" s="137"/>
      <c r="G1298" s="143">
        <v>900</v>
      </c>
      <c r="H1298" s="67">
        <f>+Table_1[[#This Row],[Column7]]+Table_1[[#This Row],[Column6]]+Table_1[[#This Row],[Column5]]+Table_1[[#This Row],[Column4]]</f>
        <v>1800</v>
      </c>
      <c r="I1298" s="38">
        <v>175</v>
      </c>
      <c r="J1298" s="34">
        <f>'PACC GENERAL 2026'!$I1298*'PACC GENERAL 2026'!$H1298</f>
        <v>315000</v>
      </c>
      <c r="K1298" s="79"/>
      <c r="L1298" s="31"/>
      <c r="M1298" s="31"/>
      <c r="N1298" s="32"/>
      <c r="O1298" s="32" t="s">
        <v>434</v>
      </c>
    </row>
    <row r="1299" spans="1:16" s="97" customFormat="1" ht="15.75" customHeight="1">
      <c r="A1299" s="80" t="s">
        <v>450</v>
      </c>
      <c r="B1299" s="81"/>
      <c r="C1299" s="82"/>
      <c r="D1299" s="156"/>
      <c r="E1299" s="296"/>
      <c r="F1299" s="156"/>
      <c r="G1299" s="158"/>
      <c r="H1299" s="111"/>
      <c r="I1299" s="52"/>
      <c r="J1299" s="83"/>
      <c r="K1299" s="84">
        <f>SUM(J1297:J1298)</f>
        <v>471000</v>
      </c>
      <c r="L1299" s="93"/>
      <c r="M1299" s="10"/>
      <c r="N1299" s="10"/>
      <c r="O1299" s="93"/>
    </row>
    <row r="1300" spans="1:16" s="97" customFormat="1" ht="15.75" customHeight="1">
      <c r="A1300" s="55" t="s">
        <v>658</v>
      </c>
      <c r="B1300" s="77" t="s">
        <v>410</v>
      </c>
      <c r="C1300" s="32" t="s">
        <v>93</v>
      </c>
      <c r="D1300" s="143"/>
      <c r="E1300" s="142"/>
      <c r="F1300" s="143"/>
      <c r="G1300" s="139"/>
      <c r="H1300" s="67">
        <f>+Table_1[[#This Row],[Column7]]+Table_1[[#This Row],[Column6]]+Table_1[[#This Row],[Column5]]+Table_1[[#This Row],[Column4]]</f>
        <v>0</v>
      </c>
      <c r="I1300" s="38">
        <v>200</v>
      </c>
      <c r="J1300" s="34">
        <f>'PACC GENERAL 2026'!$I1300*'PACC GENERAL 2026'!$H1300</f>
        <v>0</v>
      </c>
      <c r="K1300" s="79"/>
      <c r="L1300" s="31"/>
      <c r="M1300" s="31"/>
      <c r="N1300" s="32"/>
      <c r="O1300" s="32"/>
    </row>
    <row r="1301" spans="1:16" s="97" customFormat="1" ht="15.75" customHeight="1">
      <c r="A1301" s="80" t="s">
        <v>658</v>
      </c>
      <c r="B1301" s="81"/>
      <c r="C1301" s="82"/>
      <c r="D1301" s="156"/>
      <c r="E1301" s="296"/>
      <c r="F1301" s="156"/>
      <c r="G1301" s="158"/>
      <c r="H1301" s="111"/>
      <c r="I1301" s="52"/>
      <c r="J1301" s="83"/>
      <c r="K1301" s="84">
        <f>+J1300</f>
        <v>0</v>
      </c>
      <c r="L1301" s="93"/>
      <c r="M1301" s="10"/>
      <c r="N1301" s="10"/>
      <c r="O1301" s="93"/>
      <c r="P1301" s="320"/>
    </row>
    <row r="1302" spans="1:16" s="97" customFormat="1" ht="15.75" customHeight="1">
      <c r="A1302" s="31" t="s">
        <v>44</v>
      </c>
      <c r="B1302" s="31" t="s">
        <v>1179</v>
      </c>
      <c r="C1302" s="32" t="s">
        <v>93</v>
      </c>
      <c r="D1302" s="144"/>
      <c r="E1302" s="144">
        <v>8000</v>
      </c>
      <c r="F1302" s="144"/>
      <c r="G1302" s="139"/>
      <c r="H1302" s="67">
        <f>+Table_1[[#This Row],[Column7]]+Table_1[[#This Row],[Column6]]+Table_1[[#This Row],[Column5]]+Table_1[[#This Row],[Column4]]</f>
        <v>8000</v>
      </c>
      <c r="I1302" s="38">
        <v>60</v>
      </c>
      <c r="J1302" s="34">
        <f>'PACC GENERAL 2026'!$I1302*'PACC GENERAL 2026'!$H1302</f>
        <v>480000</v>
      </c>
      <c r="K1302" s="79"/>
      <c r="L1302" s="31"/>
      <c r="M1302" s="31"/>
      <c r="N1302" s="32"/>
      <c r="O1302" s="32" t="s">
        <v>434</v>
      </c>
    </row>
    <row r="1303" spans="1:16" s="97" customFormat="1" ht="15.75" customHeight="1">
      <c r="A1303" s="174" t="s">
        <v>44</v>
      </c>
      <c r="B1303" s="174" t="s">
        <v>1180</v>
      </c>
      <c r="C1303" s="32" t="s">
        <v>93</v>
      </c>
      <c r="D1303" s="144"/>
      <c r="E1303" s="144">
        <v>12550</v>
      </c>
      <c r="F1303" s="144"/>
      <c r="G1303" s="183"/>
      <c r="H1303" s="67">
        <f>+Table_1[[#This Row],[Column7]]+Table_1[[#This Row],[Column6]]+Table_1[[#This Row],[Column5]]+Table_1[[#This Row],[Column4]]</f>
        <v>12550</v>
      </c>
      <c r="I1303" s="177">
        <v>35</v>
      </c>
      <c r="J1303" s="34">
        <f>'PACC GENERAL 2026'!$I1303*'PACC GENERAL 2026'!$H1303</f>
        <v>439250</v>
      </c>
      <c r="K1303" s="79"/>
      <c r="L1303" s="31"/>
      <c r="M1303" s="31"/>
      <c r="N1303" s="32"/>
      <c r="O1303" s="32" t="s">
        <v>434</v>
      </c>
      <c r="P1303" s="320"/>
    </row>
    <row r="1304" spans="1:16" s="97" customFormat="1" ht="15.75" customHeight="1">
      <c r="A1304" s="31" t="s">
        <v>44</v>
      </c>
      <c r="B1304" s="31" t="s">
        <v>323</v>
      </c>
      <c r="C1304" s="32" t="s">
        <v>94</v>
      </c>
      <c r="D1304" s="145">
        <v>1500</v>
      </c>
      <c r="E1304" s="145">
        <f>1500-1500</f>
        <v>0</v>
      </c>
      <c r="F1304" s="145"/>
      <c r="G1304" s="133">
        <v>2000</v>
      </c>
      <c r="H1304" s="67">
        <f>+Table_1[[#This Row],[Column7]]+Table_1[[#This Row],[Column6]]+Table_1[[#This Row],[Column5]]+Table_1[[#This Row],[Column4]]</f>
        <v>3500</v>
      </c>
      <c r="I1304" s="38">
        <v>395</v>
      </c>
      <c r="J1304" s="34">
        <f>'PACC GENERAL 2026'!$I1304*'PACC GENERAL 2026'!$H1304</f>
        <v>1382500</v>
      </c>
      <c r="K1304" s="35"/>
      <c r="L1304" s="31"/>
      <c r="M1304" s="31"/>
      <c r="N1304" s="31"/>
      <c r="O1304" s="32" t="s">
        <v>434</v>
      </c>
    </row>
    <row r="1305" spans="1:16" s="97" customFormat="1" ht="18.75" customHeight="1">
      <c r="A1305" s="85" t="s">
        <v>44</v>
      </c>
      <c r="B1305" s="10"/>
      <c r="C1305" s="10"/>
      <c r="D1305" s="152"/>
      <c r="E1305" s="152"/>
      <c r="F1305" s="152"/>
      <c r="G1305" s="152"/>
      <c r="H1305" s="111"/>
      <c r="I1305" s="44"/>
      <c r="J1305" s="83"/>
      <c r="K1305" s="13">
        <f>SUM(J1302:J1304)</f>
        <v>2301750</v>
      </c>
      <c r="L1305" s="93"/>
      <c r="M1305" s="10"/>
      <c r="N1305" s="10"/>
      <c r="O1305" s="93"/>
    </row>
    <row r="1306" spans="1:16" s="97" customFormat="1" ht="15.5">
      <c r="A1306" s="31" t="s">
        <v>620</v>
      </c>
      <c r="B1306" s="31" t="s">
        <v>412</v>
      </c>
      <c r="C1306" s="32" t="s">
        <v>93</v>
      </c>
      <c r="D1306" s="133"/>
      <c r="E1306" s="133"/>
      <c r="F1306" s="133"/>
      <c r="G1306" s="133"/>
      <c r="H1306" s="67">
        <f>+Table_1[[#This Row],[Column7]]+Table_1[[#This Row],[Column6]]+Table_1[[#This Row],[Column5]]+Table_1[[#This Row],[Column4]]</f>
        <v>0</v>
      </c>
      <c r="I1306" s="38">
        <v>100</v>
      </c>
      <c r="J1306" s="34">
        <f>'PACC GENERAL 2026'!$I1306*'PACC GENERAL 2026'!$H1306</f>
        <v>0</v>
      </c>
      <c r="K1306" s="35"/>
      <c r="L1306" s="32"/>
      <c r="M1306" s="34"/>
      <c r="N1306" s="31"/>
      <c r="O1306" s="32"/>
      <c r="P1306" s="320"/>
    </row>
    <row r="1307" spans="1:16" s="97" customFormat="1" ht="15.5">
      <c r="A1307" s="85" t="s">
        <v>620</v>
      </c>
      <c r="B1307" s="10"/>
      <c r="C1307" s="10"/>
      <c r="D1307" s="152"/>
      <c r="E1307" s="152"/>
      <c r="F1307" s="152"/>
      <c r="G1307" s="152"/>
      <c r="H1307" s="111"/>
      <c r="I1307" s="44"/>
      <c r="J1307" s="83"/>
      <c r="K1307" s="13">
        <f>SUM(J1306)</f>
        <v>0</v>
      </c>
      <c r="L1307" s="93"/>
      <c r="M1307" s="10"/>
      <c r="N1307" s="10"/>
      <c r="O1307" s="93"/>
      <c r="P1307" s="320"/>
    </row>
    <row r="1308" spans="1:16" s="97" customFormat="1" ht="15.5">
      <c r="A1308" s="31" t="s">
        <v>618</v>
      </c>
      <c r="B1308" s="31" t="s">
        <v>409</v>
      </c>
      <c r="C1308" s="32" t="s">
        <v>93</v>
      </c>
      <c r="D1308" s="133"/>
      <c r="E1308" s="133"/>
      <c r="F1308" s="133"/>
      <c r="G1308" s="133"/>
      <c r="H1308" s="67">
        <f>+Table_1[[#This Row],[Column7]]+Table_1[[#This Row],[Column6]]+Table_1[[#This Row],[Column5]]+Table_1[[#This Row],[Column4]]</f>
        <v>0</v>
      </c>
      <c r="I1308" s="38">
        <v>155</v>
      </c>
      <c r="J1308" s="34">
        <f>'PACC GENERAL 2026'!$I1308*'PACC GENERAL 2026'!$H1308</f>
        <v>0</v>
      </c>
      <c r="K1308" s="35"/>
      <c r="L1308" s="32"/>
      <c r="M1308" s="34"/>
      <c r="N1308" s="31"/>
      <c r="O1308" s="32"/>
      <c r="P1308" s="320"/>
    </row>
    <row r="1309" spans="1:16" s="97" customFormat="1" ht="15.5">
      <c r="A1309" s="85" t="s">
        <v>618</v>
      </c>
      <c r="B1309" s="10"/>
      <c r="C1309" s="10"/>
      <c r="D1309" s="152"/>
      <c r="E1309" s="152"/>
      <c r="F1309" s="152"/>
      <c r="G1309" s="152"/>
      <c r="H1309" s="111"/>
      <c r="I1309" s="44"/>
      <c r="J1309" s="83"/>
      <c r="K1309" s="13">
        <f>SUM(J1308)</f>
        <v>0</v>
      </c>
      <c r="L1309" s="93"/>
      <c r="M1309" s="10"/>
      <c r="N1309" s="10"/>
      <c r="O1309" s="93"/>
      <c r="P1309" s="320"/>
    </row>
    <row r="1310" spans="1:16" s="97" customFormat="1" ht="15.5">
      <c r="A1310" s="31" t="s">
        <v>324</v>
      </c>
      <c r="B1310" s="31" t="s">
        <v>325</v>
      </c>
      <c r="C1310" s="32" t="s">
        <v>138</v>
      </c>
      <c r="D1310" s="133"/>
      <c r="E1310" s="133"/>
      <c r="F1310" s="133"/>
      <c r="G1310" s="133"/>
      <c r="H1310" s="67">
        <f>+Table_1[[#This Row],[Column7]]+Table_1[[#This Row],[Column6]]+Table_1[[#This Row],[Column5]]+Table_1[[#This Row],[Column4]]</f>
        <v>0</v>
      </c>
      <c r="I1310" s="38">
        <v>20</v>
      </c>
      <c r="J1310" s="34">
        <f>'PACC GENERAL 2026'!$I1310*'PACC GENERAL 2026'!$H1310</f>
        <v>0</v>
      </c>
      <c r="K1310" s="35"/>
      <c r="L1310" s="31"/>
      <c r="M1310" s="31"/>
      <c r="N1310" s="31"/>
      <c r="O1310" s="32"/>
    </row>
    <row r="1311" spans="1:16" s="97" customFormat="1" ht="15.5">
      <c r="A1311" s="31" t="s">
        <v>324</v>
      </c>
      <c r="B1311" s="31" t="s">
        <v>1339</v>
      </c>
      <c r="C1311" s="32" t="s">
        <v>93</v>
      </c>
      <c r="D1311" s="133"/>
      <c r="E1311" s="133"/>
      <c r="F1311" s="133"/>
      <c r="G1311" s="133">
        <v>100</v>
      </c>
      <c r="H1311" s="67">
        <f>+Table_1[[#This Row],[Column7]]+Table_1[[#This Row],[Column6]]+Table_1[[#This Row],[Column5]]+Table_1[[#This Row],[Column4]]</f>
        <v>100</v>
      </c>
      <c r="I1311" s="38">
        <v>47.78</v>
      </c>
      <c r="J1311" s="34">
        <f>'PACC GENERAL 2026'!$I1311*'PACC GENERAL 2026'!$H1311</f>
        <v>4778</v>
      </c>
      <c r="K1311" s="35"/>
      <c r="L1311" s="31"/>
      <c r="M1311" s="31"/>
      <c r="N1311" s="31"/>
      <c r="O1311" s="32" t="s">
        <v>1338</v>
      </c>
    </row>
    <row r="1312" spans="1:16" s="97" customFormat="1" ht="15.75" customHeight="1">
      <c r="A1312" s="31" t="s">
        <v>324</v>
      </c>
      <c r="B1312" s="31" t="s">
        <v>1340</v>
      </c>
      <c r="C1312" s="32" t="s">
        <v>93</v>
      </c>
      <c r="D1312" s="133"/>
      <c r="E1312" s="133"/>
      <c r="F1312" s="133"/>
      <c r="G1312" s="133">
        <v>100</v>
      </c>
      <c r="H1312" s="67">
        <f>+Table_1[[#This Row],[Column7]]+Table_1[[#This Row],[Column6]]+Table_1[[#This Row],[Column5]]+Table_1[[#This Row],[Column4]]</f>
        <v>100</v>
      </c>
      <c r="I1312" s="38">
        <v>505.7</v>
      </c>
      <c r="J1312" s="34">
        <f>'PACC GENERAL 2026'!$I1312*'PACC GENERAL 2026'!$H1312</f>
        <v>50570</v>
      </c>
      <c r="K1312" s="35"/>
      <c r="L1312" s="31"/>
      <c r="M1312" s="31"/>
      <c r="N1312" s="31"/>
      <c r="O1312" s="32" t="s">
        <v>1338</v>
      </c>
    </row>
    <row r="1313" spans="1:16" s="97" customFormat="1" ht="15.75" customHeight="1">
      <c r="A1313" s="31" t="s">
        <v>324</v>
      </c>
      <c r="B1313" s="31" t="s">
        <v>1341</v>
      </c>
      <c r="C1313" s="32" t="s">
        <v>93</v>
      </c>
      <c r="D1313" s="133"/>
      <c r="E1313" s="133"/>
      <c r="F1313" s="133"/>
      <c r="G1313" s="133">
        <v>100</v>
      </c>
      <c r="H1313" s="67">
        <f>+Table_1[[#This Row],[Column7]]+Table_1[[#This Row],[Column6]]+Table_1[[#This Row],[Column5]]+Table_1[[#This Row],[Column4]]</f>
        <v>100</v>
      </c>
      <c r="I1313" s="38">
        <v>266.93</v>
      </c>
      <c r="J1313" s="34">
        <f>'PACC GENERAL 2026'!$I1313*'PACC GENERAL 2026'!$H1313</f>
        <v>26693</v>
      </c>
      <c r="K1313" s="35"/>
      <c r="L1313" s="31"/>
      <c r="M1313" s="31"/>
      <c r="N1313" s="31"/>
      <c r="O1313" s="32" t="s">
        <v>1338</v>
      </c>
    </row>
    <row r="1314" spans="1:16" s="97" customFormat="1" ht="15.75" customHeight="1">
      <c r="A1314" s="31" t="s">
        <v>324</v>
      </c>
      <c r="B1314" s="31" t="s">
        <v>1342</v>
      </c>
      <c r="C1314" s="32" t="s">
        <v>93</v>
      </c>
      <c r="D1314" s="133"/>
      <c r="E1314" s="133"/>
      <c r="F1314" s="133"/>
      <c r="G1314" s="133">
        <v>50</v>
      </c>
      <c r="H1314" s="67">
        <f>+Table_1[[#This Row],[Column7]]+Table_1[[#This Row],[Column6]]+Table_1[[#This Row],[Column5]]+Table_1[[#This Row],[Column4]]</f>
        <v>50</v>
      </c>
      <c r="I1314" s="38">
        <v>41.6</v>
      </c>
      <c r="J1314" s="34">
        <f>'PACC GENERAL 2026'!$I1314*'PACC GENERAL 2026'!$H1314</f>
        <v>2080</v>
      </c>
      <c r="K1314" s="35"/>
      <c r="L1314" s="31"/>
      <c r="M1314" s="31"/>
      <c r="N1314" s="31"/>
      <c r="O1314" s="32" t="s">
        <v>1338</v>
      </c>
    </row>
    <row r="1315" spans="1:16" s="97" customFormat="1" ht="15.75" customHeight="1">
      <c r="A1315" s="31" t="s">
        <v>324</v>
      </c>
      <c r="B1315" s="31" t="s">
        <v>1343</v>
      </c>
      <c r="C1315" s="32" t="s">
        <v>93</v>
      </c>
      <c r="D1315" s="133"/>
      <c r="E1315" s="133"/>
      <c r="F1315" s="133"/>
      <c r="G1315" s="133">
        <v>300</v>
      </c>
      <c r="H1315" s="67">
        <f>+Table_1[[#This Row],[Column7]]+Table_1[[#This Row],[Column6]]+Table_1[[#This Row],[Column5]]+Table_1[[#This Row],[Column4]]</f>
        <v>300</v>
      </c>
      <c r="I1315" s="38">
        <v>28.67</v>
      </c>
      <c r="J1315" s="34">
        <f>'PACC GENERAL 2026'!$I1315*'PACC GENERAL 2026'!$H1315</f>
        <v>8601</v>
      </c>
      <c r="K1315" s="35"/>
      <c r="L1315" s="31"/>
      <c r="M1315" s="31"/>
      <c r="N1315" s="31"/>
      <c r="O1315" s="32" t="s">
        <v>1338</v>
      </c>
      <c r="P1315" s="320"/>
    </row>
    <row r="1316" spans="1:16" s="97" customFormat="1" ht="15.75" customHeight="1">
      <c r="A1316" s="31" t="s">
        <v>324</v>
      </c>
      <c r="B1316" s="31" t="s">
        <v>1344</v>
      </c>
      <c r="C1316" s="32" t="s">
        <v>93</v>
      </c>
      <c r="D1316" s="133"/>
      <c r="E1316" s="133"/>
      <c r="F1316" s="133"/>
      <c r="G1316" s="133">
        <v>2</v>
      </c>
      <c r="H1316" s="67">
        <f>+Table_1[[#This Row],[Column7]]+Table_1[[#This Row],[Column6]]+Table_1[[#This Row],[Column5]]+Table_1[[#This Row],[Column4]]</f>
        <v>2</v>
      </c>
      <c r="I1316" s="38">
        <v>1046.5</v>
      </c>
      <c r="J1316" s="34">
        <f>'PACC GENERAL 2026'!$I1316*'PACC GENERAL 2026'!$H1316</f>
        <v>2093</v>
      </c>
      <c r="K1316" s="35"/>
      <c r="L1316" s="31"/>
      <c r="M1316" s="31"/>
      <c r="N1316" s="31"/>
      <c r="O1316" s="32" t="s">
        <v>1338</v>
      </c>
      <c r="P1316" s="320"/>
    </row>
    <row r="1317" spans="1:16" s="97" customFormat="1" ht="15.75" customHeight="1">
      <c r="A1317" s="31" t="s">
        <v>324</v>
      </c>
      <c r="B1317" s="31" t="s">
        <v>1345</v>
      </c>
      <c r="C1317" s="32" t="s">
        <v>93</v>
      </c>
      <c r="D1317" s="133"/>
      <c r="E1317" s="133"/>
      <c r="F1317" s="133"/>
      <c r="G1317" s="133">
        <v>200</v>
      </c>
      <c r="H1317" s="67">
        <f>+Table_1[[#This Row],[Column7]]+Table_1[[#This Row],[Column6]]+Table_1[[#This Row],[Column5]]+Table_1[[#This Row],[Column4]]</f>
        <v>200</v>
      </c>
      <c r="I1317" s="38">
        <v>716.63</v>
      </c>
      <c r="J1317" s="34">
        <f>'PACC GENERAL 2026'!$I1317*'PACC GENERAL 2026'!$H1317</f>
        <v>143326</v>
      </c>
      <c r="K1317" s="35"/>
      <c r="L1317" s="31"/>
      <c r="M1317" s="31"/>
      <c r="N1317" s="31"/>
      <c r="O1317" s="32" t="s">
        <v>1338</v>
      </c>
      <c r="P1317" s="320"/>
    </row>
    <row r="1318" spans="1:16" s="97" customFormat="1" ht="15.75" customHeight="1">
      <c r="A1318" s="31" t="s">
        <v>324</v>
      </c>
      <c r="B1318" s="31" t="s">
        <v>1346</v>
      </c>
      <c r="C1318" s="32" t="s">
        <v>93</v>
      </c>
      <c r="D1318" s="133"/>
      <c r="E1318" s="133"/>
      <c r="F1318" s="133"/>
      <c r="G1318" s="133">
        <v>100</v>
      </c>
      <c r="H1318" s="67">
        <f>+Table_1[[#This Row],[Column7]]+Table_1[[#This Row],[Column6]]+Table_1[[#This Row],[Column5]]+Table_1[[#This Row],[Column4]]</f>
        <v>100</v>
      </c>
      <c r="I1318" s="38">
        <v>589.1</v>
      </c>
      <c r="J1318" s="34">
        <f>'PACC GENERAL 2026'!$I1318*'PACC GENERAL 2026'!$H1318</f>
        <v>58910</v>
      </c>
      <c r="K1318" s="35"/>
      <c r="L1318" s="31"/>
      <c r="M1318" s="31"/>
      <c r="N1318" s="31"/>
      <c r="O1318" s="32" t="s">
        <v>1338</v>
      </c>
      <c r="P1318" s="320"/>
    </row>
    <row r="1319" spans="1:16" s="97" customFormat="1" ht="15.75" customHeight="1">
      <c r="A1319" s="31" t="s">
        <v>324</v>
      </c>
      <c r="B1319" s="31" t="s">
        <v>1347</v>
      </c>
      <c r="C1319" s="32" t="s">
        <v>93</v>
      </c>
      <c r="D1319" s="133"/>
      <c r="E1319" s="133"/>
      <c r="F1319" s="133"/>
      <c r="G1319" s="133">
        <v>100</v>
      </c>
      <c r="H1319" s="67">
        <f>+Table_1[[#This Row],[Column7]]+Table_1[[#This Row],[Column6]]+Table_1[[#This Row],[Column5]]+Table_1[[#This Row],[Column4]]</f>
        <v>100</v>
      </c>
      <c r="I1319" s="38">
        <v>0.65</v>
      </c>
      <c r="J1319" s="34">
        <f>'PACC GENERAL 2026'!$I1319*'PACC GENERAL 2026'!$H1319</f>
        <v>65</v>
      </c>
      <c r="K1319" s="35"/>
      <c r="L1319" s="31"/>
      <c r="M1319" s="31"/>
      <c r="N1319" s="31"/>
      <c r="O1319" s="32" t="s">
        <v>1338</v>
      </c>
      <c r="P1319" s="320"/>
    </row>
    <row r="1320" spans="1:16" s="97" customFormat="1" ht="15.75" customHeight="1">
      <c r="A1320" s="31" t="s">
        <v>324</v>
      </c>
      <c r="B1320" s="31" t="s">
        <v>1348</v>
      </c>
      <c r="C1320" s="32" t="s">
        <v>93</v>
      </c>
      <c r="D1320" s="133"/>
      <c r="E1320" s="133"/>
      <c r="F1320" s="133"/>
      <c r="G1320" s="133">
        <v>2</v>
      </c>
      <c r="H1320" s="67">
        <f>+Table_1[[#This Row],[Column7]]+Table_1[[#This Row],[Column6]]+Table_1[[#This Row],[Column5]]+Table_1[[#This Row],[Column4]]</f>
        <v>2</v>
      </c>
      <c r="I1320" s="38">
        <v>58301.41</v>
      </c>
      <c r="J1320" s="34">
        <f>'PACC GENERAL 2026'!$I1320*'PACC GENERAL 2026'!$H1320</f>
        <v>116602.82</v>
      </c>
      <c r="K1320" s="35"/>
      <c r="L1320" s="31"/>
      <c r="M1320" s="31"/>
      <c r="N1320" s="31"/>
      <c r="O1320" s="32" t="s">
        <v>1338</v>
      </c>
      <c r="P1320" s="320"/>
    </row>
    <row r="1321" spans="1:16" s="97" customFormat="1" ht="15.75" customHeight="1">
      <c r="A1321" s="31" t="s">
        <v>324</v>
      </c>
      <c r="B1321" s="31" t="s">
        <v>1349</v>
      </c>
      <c r="C1321" s="32" t="s">
        <v>93</v>
      </c>
      <c r="D1321" s="133"/>
      <c r="E1321" s="133"/>
      <c r="F1321" s="133"/>
      <c r="G1321" s="133">
        <v>3</v>
      </c>
      <c r="H1321" s="67">
        <f>+Table_1[[#This Row],[Column7]]+Table_1[[#This Row],[Column6]]+Table_1[[#This Row],[Column5]]+Table_1[[#This Row],[Column4]]</f>
        <v>3</v>
      </c>
      <c r="I1321" s="38">
        <v>2695.36</v>
      </c>
      <c r="J1321" s="34">
        <f>'PACC GENERAL 2026'!$I1321*'PACC GENERAL 2026'!$H1321</f>
        <v>8086.08</v>
      </c>
      <c r="K1321" s="35"/>
      <c r="L1321" s="31"/>
      <c r="M1321" s="31"/>
      <c r="N1321" s="31"/>
      <c r="O1321" s="32" t="s">
        <v>1338</v>
      </c>
      <c r="P1321" s="320"/>
    </row>
    <row r="1322" spans="1:16" s="97" customFormat="1" ht="15.75" customHeight="1">
      <c r="A1322" s="31" t="s">
        <v>324</v>
      </c>
      <c r="B1322" s="31" t="s">
        <v>1350</v>
      </c>
      <c r="C1322" s="32" t="s">
        <v>93</v>
      </c>
      <c r="D1322" s="133"/>
      <c r="E1322" s="133"/>
      <c r="F1322" s="133"/>
      <c r="G1322" s="133">
        <v>1</v>
      </c>
      <c r="H1322" s="67">
        <f>+Table_1[[#This Row],[Column7]]+Table_1[[#This Row],[Column6]]+Table_1[[#This Row],[Column5]]+Table_1[[#This Row],[Column4]]</f>
        <v>1</v>
      </c>
      <c r="I1322" s="38">
        <v>3138.8</v>
      </c>
      <c r="J1322" s="34">
        <f>'PACC GENERAL 2026'!$I1322*'PACC GENERAL 2026'!$H1322</f>
        <v>3138.8</v>
      </c>
      <c r="K1322" s="35"/>
      <c r="L1322" s="31"/>
      <c r="M1322" s="31"/>
      <c r="N1322" s="31"/>
      <c r="O1322" s="32" t="s">
        <v>1338</v>
      </c>
      <c r="P1322" s="320"/>
    </row>
    <row r="1323" spans="1:16" s="97" customFormat="1" ht="15.75" customHeight="1">
      <c r="A1323" s="31" t="s">
        <v>324</v>
      </c>
      <c r="B1323" s="31" t="s">
        <v>1351</v>
      </c>
      <c r="C1323" s="32" t="s">
        <v>93</v>
      </c>
      <c r="D1323" s="133"/>
      <c r="E1323" s="133"/>
      <c r="F1323" s="133"/>
      <c r="G1323" s="133">
        <v>100</v>
      </c>
      <c r="H1323" s="67">
        <f>+Table_1[[#This Row],[Column7]]+Table_1[[#This Row],[Column6]]+Table_1[[#This Row],[Column5]]+Table_1[[#This Row],[Column4]]</f>
        <v>100</v>
      </c>
      <c r="I1323" s="38">
        <v>428</v>
      </c>
      <c r="J1323" s="34">
        <f>'PACC GENERAL 2026'!$I1323*'PACC GENERAL 2026'!$H1323</f>
        <v>42800</v>
      </c>
      <c r="K1323" s="35"/>
      <c r="L1323" s="31"/>
      <c r="M1323" s="31"/>
      <c r="N1323" s="31"/>
      <c r="O1323" s="32" t="s">
        <v>1338</v>
      </c>
      <c r="P1323" s="320"/>
    </row>
    <row r="1324" spans="1:16" s="97" customFormat="1" ht="15.75" customHeight="1">
      <c r="A1324" s="31" t="s">
        <v>324</v>
      </c>
      <c r="B1324" s="31" t="s">
        <v>1352</v>
      </c>
      <c r="C1324" s="32" t="s">
        <v>93</v>
      </c>
      <c r="D1324" s="133"/>
      <c r="E1324" s="133"/>
      <c r="F1324" s="133"/>
      <c r="G1324" s="133">
        <v>200</v>
      </c>
      <c r="H1324" s="67">
        <f>+Table_1[[#This Row],[Column7]]+Table_1[[#This Row],[Column6]]+Table_1[[#This Row],[Column5]]+Table_1[[#This Row],[Column4]]</f>
        <v>200</v>
      </c>
      <c r="I1324" s="38">
        <v>24.88</v>
      </c>
      <c r="J1324" s="34">
        <f>'PACC GENERAL 2026'!$I1324*'PACC GENERAL 2026'!$H1324</f>
        <v>4976</v>
      </c>
      <c r="K1324" s="35"/>
      <c r="L1324" s="31"/>
      <c r="M1324" s="31"/>
      <c r="N1324" s="31"/>
      <c r="O1324" s="32" t="s">
        <v>1338</v>
      </c>
      <c r="P1324" s="320"/>
    </row>
    <row r="1325" spans="1:16" s="97" customFormat="1" ht="15.75" customHeight="1">
      <c r="A1325" s="31" t="s">
        <v>324</v>
      </c>
      <c r="B1325" s="31" t="s">
        <v>1353</v>
      </c>
      <c r="C1325" s="32" t="s">
        <v>93</v>
      </c>
      <c r="D1325" s="133"/>
      <c r="E1325" s="133"/>
      <c r="F1325" s="133"/>
      <c r="G1325" s="133">
        <v>30</v>
      </c>
      <c r="H1325" s="67">
        <f>+Table_1[[#This Row],[Column7]]+Table_1[[#This Row],[Column6]]+Table_1[[#This Row],[Column5]]+Table_1[[#This Row],[Column4]]</f>
        <v>30</v>
      </c>
      <c r="I1325" s="38">
        <v>130.81</v>
      </c>
      <c r="J1325" s="34">
        <f>'PACC GENERAL 2026'!$I1325*'PACC GENERAL 2026'!$H1325</f>
        <v>3924.3</v>
      </c>
      <c r="K1325" s="35"/>
      <c r="L1325" s="31"/>
      <c r="M1325" s="31"/>
      <c r="N1325" s="31"/>
      <c r="O1325" s="32" t="s">
        <v>1338</v>
      </c>
    </row>
    <row r="1326" spans="1:16" s="97" customFormat="1" ht="15.75" customHeight="1">
      <c r="A1326" s="31" t="s">
        <v>324</v>
      </c>
      <c r="B1326" s="31" t="s">
        <v>1354</v>
      </c>
      <c r="C1326" s="32" t="s">
        <v>93</v>
      </c>
      <c r="D1326" s="133"/>
      <c r="E1326" s="133"/>
      <c r="F1326" s="133"/>
      <c r="G1326" s="133">
        <v>1</v>
      </c>
      <c r="H1326" s="67">
        <f>+Table_1[[#This Row],[Column7]]+Table_1[[#This Row],[Column6]]+Table_1[[#This Row],[Column5]]+Table_1[[#This Row],[Column4]]</f>
        <v>1</v>
      </c>
      <c r="I1326" s="38">
        <v>2600</v>
      </c>
      <c r="J1326" s="34">
        <f>'PACC GENERAL 2026'!$I1326*'PACC GENERAL 2026'!$H1326</f>
        <v>2600</v>
      </c>
      <c r="K1326" s="35"/>
      <c r="L1326" s="31"/>
      <c r="M1326" s="31"/>
      <c r="N1326" s="31"/>
      <c r="O1326" s="32" t="s">
        <v>1338</v>
      </c>
    </row>
    <row r="1327" spans="1:16" s="97" customFormat="1" ht="15.75" customHeight="1">
      <c r="A1327" s="31" t="s">
        <v>324</v>
      </c>
      <c r="B1327" s="31" t="s">
        <v>1355</v>
      </c>
      <c r="C1327" s="32" t="s">
        <v>93</v>
      </c>
      <c r="D1327" s="133"/>
      <c r="E1327" s="133"/>
      <c r="F1327" s="133"/>
      <c r="G1327" s="133">
        <v>200</v>
      </c>
      <c r="H1327" s="67">
        <f>+Table_1[[#This Row],[Column7]]+Table_1[[#This Row],[Column6]]+Table_1[[#This Row],[Column5]]+Table_1[[#This Row],[Column4]]</f>
        <v>200</v>
      </c>
      <c r="I1327" s="38">
        <v>33.799999999999997</v>
      </c>
      <c r="J1327" s="34">
        <f>'PACC GENERAL 2026'!$I1327*'PACC GENERAL 2026'!$H1327</f>
        <v>6759.9999999999991</v>
      </c>
      <c r="K1327" s="35"/>
      <c r="L1327" s="31"/>
      <c r="M1327" s="31"/>
      <c r="N1327" s="31"/>
      <c r="O1327" s="32" t="s">
        <v>1338</v>
      </c>
    </row>
    <row r="1328" spans="1:16" s="97" customFormat="1" ht="15.75" customHeight="1">
      <c r="A1328" s="31" t="s">
        <v>324</v>
      </c>
      <c r="B1328" s="31" t="s">
        <v>1356</v>
      </c>
      <c r="C1328" s="32" t="s">
        <v>93</v>
      </c>
      <c r="D1328" s="133"/>
      <c r="E1328" s="133"/>
      <c r="F1328" s="133"/>
      <c r="G1328" s="133">
        <v>200</v>
      </c>
      <c r="H1328" s="67">
        <f>+Table_1[[#This Row],[Column7]]+Table_1[[#This Row],[Column6]]+Table_1[[#This Row],[Column5]]+Table_1[[#This Row],[Column4]]</f>
        <v>200</v>
      </c>
      <c r="I1328" s="38">
        <v>34.6</v>
      </c>
      <c r="J1328" s="34">
        <f>'PACC GENERAL 2026'!$I1328*'PACC GENERAL 2026'!$H1328</f>
        <v>6920</v>
      </c>
      <c r="K1328" s="35"/>
      <c r="L1328" s="31"/>
      <c r="M1328" s="31"/>
      <c r="N1328" s="31"/>
      <c r="O1328" s="32" t="s">
        <v>1338</v>
      </c>
    </row>
    <row r="1329" spans="1:16" s="97" customFormat="1" ht="15.75" customHeight="1">
      <c r="A1329" s="31" t="s">
        <v>324</v>
      </c>
      <c r="B1329" s="31" t="s">
        <v>1357</v>
      </c>
      <c r="C1329" s="32" t="s">
        <v>93</v>
      </c>
      <c r="D1329" s="133"/>
      <c r="E1329" s="133"/>
      <c r="F1329" s="133"/>
      <c r="G1329" s="133">
        <v>200</v>
      </c>
      <c r="H1329" s="67">
        <f>+Table_1[[#This Row],[Column7]]+Table_1[[#This Row],[Column6]]+Table_1[[#This Row],[Column5]]+Table_1[[#This Row],[Column4]]</f>
        <v>200</v>
      </c>
      <c r="I1329" s="38">
        <v>36.200000000000003</v>
      </c>
      <c r="J1329" s="34">
        <f>'PACC GENERAL 2026'!$I1329*'PACC GENERAL 2026'!$H1329</f>
        <v>7240.0000000000009</v>
      </c>
      <c r="K1329" s="35"/>
      <c r="L1329" s="31"/>
      <c r="M1329" s="31"/>
      <c r="N1329" s="31"/>
      <c r="O1329" s="32" t="s">
        <v>1338</v>
      </c>
    </row>
    <row r="1330" spans="1:16" s="97" customFormat="1" ht="15.75" customHeight="1">
      <c r="A1330" s="31" t="s">
        <v>324</v>
      </c>
      <c r="B1330" s="31" t="s">
        <v>1358</v>
      </c>
      <c r="C1330" s="32" t="s">
        <v>93</v>
      </c>
      <c r="D1330" s="133"/>
      <c r="E1330" s="133"/>
      <c r="F1330" s="133"/>
      <c r="G1330" s="133">
        <v>100</v>
      </c>
      <c r="H1330" s="67">
        <f>+Table_1[[#This Row],[Column7]]+Table_1[[#This Row],[Column6]]+Table_1[[#This Row],[Column5]]+Table_1[[#This Row],[Column4]]</f>
        <v>100</v>
      </c>
      <c r="I1330" s="38">
        <v>7.12</v>
      </c>
      <c r="J1330" s="34">
        <f>'PACC GENERAL 2026'!$I1330*'PACC GENERAL 2026'!$H1330</f>
        <v>712</v>
      </c>
      <c r="K1330" s="35"/>
      <c r="L1330" s="31"/>
      <c r="M1330" s="31"/>
      <c r="N1330" s="31"/>
      <c r="O1330" s="32" t="s">
        <v>1338</v>
      </c>
    </row>
    <row r="1331" spans="1:16" s="97" customFormat="1" ht="15.75" customHeight="1">
      <c r="A1331" s="31" t="s">
        <v>324</v>
      </c>
      <c r="B1331" s="31" t="s">
        <v>1359</v>
      </c>
      <c r="C1331" s="32" t="s">
        <v>93</v>
      </c>
      <c r="D1331" s="133"/>
      <c r="E1331" s="133"/>
      <c r="F1331" s="133"/>
      <c r="G1331" s="133">
        <v>1</v>
      </c>
      <c r="H1331" s="67">
        <f>+Table_1[[#This Row],[Column7]]+Table_1[[#This Row],[Column6]]+Table_1[[#This Row],[Column5]]+Table_1[[#This Row],[Column4]]</f>
        <v>1</v>
      </c>
      <c r="I1331" s="38">
        <v>375.38</v>
      </c>
      <c r="J1331" s="34">
        <f>'PACC GENERAL 2026'!$I1331*'PACC GENERAL 2026'!$H1331</f>
        <v>375.38</v>
      </c>
      <c r="K1331" s="35"/>
      <c r="L1331" s="31"/>
      <c r="M1331" s="31"/>
      <c r="N1331" s="31"/>
      <c r="O1331" s="32" t="s">
        <v>1338</v>
      </c>
    </row>
    <row r="1332" spans="1:16" s="97" customFormat="1" ht="15.75" customHeight="1">
      <c r="A1332" s="31" t="s">
        <v>324</v>
      </c>
      <c r="B1332" s="31" t="s">
        <v>1360</v>
      </c>
      <c r="C1332" s="32" t="s">
        <v>93</v>
      </c>
      <c r="D1332" s="133"/>
      <c r="E1332" s="133"/>
      <c r="F1332" s="133"/>
      <c r="G1332" s="133">
        <v>20</v>
      </c>
      <c r="H1332" s="67">
        <f>+Table_1[[#This Row],[Column7]]+Table_1[[#This Row],[Column6]]+Table_1[[#This Row],[Column5]]+Table_1[[#This Row],[Column4]]</f>
        <v>20</v>
      </c>
      <c r="I1332" s="38">
        <v>1000</v>
      </c>
      <c r="J1332" s="34">
        <f>'PACC GENERAL 2026'!$I1332*'PACC GENERAL 2026'!$H1332</f>
        <v>20000</v>
      </c>
      <c r="K1332" s="35"/>
      <c r="L1332" s="31"/>
      <c r="M1332" s="31"/>
      <c r="N1332" s="31"/>
      <c r="O1332" s="32" t="s">
        <v>1338</v>
      </c>
    </row>
    <row r="1333" spans="1:16" s="97" customFormat="1" ht="15.75" customHeight="1">
      <c r="A1333" s="31" t="s">
        <v>324</v>
      </c>
      <c r="B1333" s="31" t="s">
        <v>1361</v>
      </c>
      <c r="C1333" s="32" t="s">
        <v>93</v>
      </c>
      <c r="D1333" s="133"/>
      <c r="E1333" s="133"/>
      <c r="F1333" s="133"/>
      <c r="G1333" s="133">
        <v>2</v>
      </c>
      <c r="H1333" s="67">
        <f>+Table_1[[#This Row],[Column7]]+Table_1[[#This Row],[Column6]]+Table_1[[#This Row],[Column5]]+Table_1[[#This Row],[Column4]]</f>
        <v>2</v>
      </c>
      <c r="I1333" s="38">
        <v>1450</v>
      </c>
      <c r="J1333" s="34">
        <f>'PACC GENERAL 2026'!$I1333*'PACC GENERAL 2026'!$H1333</f>
        <v>2900</v>
      </c>
      <c r="K1333" s="35"/>
      <c r="L1333" s="31"/>
      <c r="M1333" s="31"/>
      <c r="N1333" s="31"/>
      <c r="O1333" s="32" t="s">
        <v>1338</v>
      </c>
    </row>
    <row r="1334" spans="1:16" s="97" customFormat="1" ht="15.75" customHeight="1">
      <c r="A1334" s="31" t="s">
        <v>324</v>
      </c>
      <c r="B1334" s="31" t="s">
        <v>1362</v>
      </c>
      <c r="C1334" s="32" t="s">
        <v>93</v>
      </c>
      <c r="D1334" s="133"/>
      <c r="E1334" s="133"/>
      <c r="F1334" s="133"/>
      <c r="G1334" s="133">
        <v>50</v>
      </c>
      <c r="H1334" s="67">
        <f>+Table_1[[#This Row],[Column7]]+Table_1[[#This Row],[Column6]]+Table_1[[#This Row],[Column5]]+Table_1[[#This Row],[Column4]]</f>
        <v>50</v>
      </c>
      <c r="I1334" s="38">
        <v>1097.2</v>
      </c>
      <c r="J1334" s="34">
        <f>'PACC GENERAL 2026'!$I1334*'PACC GENERAL 2026'!$H1334</f>
        <v>54860</v>
      </c>
      <c r="K1334" s="35"/>
      <c r="L1334" s="31"/>
      <c r="M1334" s="31"/>
      <c r="N1334" s="31"/>
      <c r="O1334" s="32" t="s">
        <v>1338</v>
      </c>
    </row>
    <row r="1335" spans="1:16" s="97" customFormat="1" ht="15.75" customHeight="1">
      <c r="A1335" s="31" t="s">
        <v>324</v>
      </c>
      <c r="B1335" s="31" t="s">
        <v>326</v>
      </c>
      <c r="C1335" s="32" t="s">
        <v>138</v>
      </c>
      <c r="D1335" s="133"/>
      <c r="E1335" s="133"/>
      <c r="F1335" s="133"/>
      <c r="G1335" s="133"/>
      <c r="H1335" s="67">
        <f>+Table_1[[#This Row],[Column7]]+Table_1[[#This Row],[Column6]]+Table_1[[#This Row],[Column5]]+Table_1[[#This Row],[Column4]]</f>
        <v>0</v>
      </c>
      <c r="I1335" s="38">
        <v>190</v>
      </c>
      <c r="J1335" s="34">
        <f>'PACC GENERAL 2026'!$I1335*'PACC GENERAL 2026'!$H1335</f>
        <v>0</v>
      </c>
      <c r="K1335" s="35"/>
      <c r="L1335" s="31"/>
      <c r="M1335" s="31"/>
      <c r="N1335" s="31"/>
      <c r="O1335" s="32"/>
    </row>
    <row r="1336" spans="1:16" s="97" customFormat="1" ht="15.75" customHeight="1">
      <c r="A1336" s="9" t="s">
        <v>324</v>
      </c>
      <c r="B1336" s="10"/>
      <c r="C1336" s="10"/>
      <c r="D1336" s="152"/>
      <c r="E1336" s="152"/>
      <c r="F1336" s="152"/>
      <c r="G1336" s="152"/>
      <c r="H1336" s="111"/>
      <c r="I1336" s="44"/>
      <c r="J1336" s="12"/>
      <c r="K1336" s="13">
        <f>SUM(J1310:J1335)</f>
        <v>579011.38</v>
      </c>
      <c r="L1336" s="10"/>
      <c r="M1336" s="10"/>
      <c r="N1336" s="10"/>
      <c r="O1336" s="73"/>
      <c r="P1336" s="278"/>
    </row>
    <row r="1337" spans="1:16" ht="15.75" customHeight="1">
      <c r="A1337" s="31" t="s">
        <v>632</v>
      </c>
      <c r="B1337" s="31" t="s">
        <v>252</v>
      </c>
      <c r="C1337" s="32" t="s">
        <v>138</v>
      </c>
      <c r="D1337" s="133"/>
      <c r="E1337" s="133"/>
      <c r="F1337" s="133"/>
      <c r="G1337" s="133"/>
      <c r="H1337" s="67">
        <f>+Table_1[[#This Row],[Column7]]+Table_1[[#This Row],[Column6]]+Table_1[[#This Row],[Column5]]+Table_1[[#This Row],[Column4]]</f>
        <v>0</v>
      </c>
      <c r="I1337" s="38">
        <v>100</v>
      </c>
      <c r="J1337" s="34">
        <f>'PACC GENERAL 2026'!$I1337*'PACC GENERAL 2026'!$H1337</f>
        <v>0</v>
      </c>
      <c r="K1337" s="35"/>
      <c r="L1337" s="32"/>
      <c r="M1337" s="86"/>
      <c r="N1337" s="86"/>
      <c r="O1337" s="63"/>
      <c r="P1337" s="320"/>
    </row>
    <row r="1338" spans="1:16" s="97" customFormat="1" ht="15.75" customHeight="1">
      <c r="A1338" s="9" t="s">
        <v>632</v>
      </c>
      <c r="B1338" s="10"/>
      <c r="C1338" s="10"/>
      <c r="D1338" s="152"/>
      <c r="E1338" s="152"/>
      <c r="F1338" s="152"/>
      <c r="G1338" s="152"/>
      <c r="H1338" s="111"/>
      <c r="I1338" s="44"/>
      <c r="J1338" s="12"/>
      <c r="K1338" s="13">
        <f>+J1337</f>
        <v>0</v>
      </c>
      <c r="L1338" s="73"/>
      <c r="M1338" s="10"/>
      <c r="N1338" s="10"/>
      <c r="O1338" s="73"/>
      <c r="P1338" s="321"/>
    </row>
    <row r="1339" spans="1:16" ht="15.75" customHeight="1">
      <c r="A1339" s="31" t="s">
        <v>635</v>
      </c>
      <c r="B1339" s="31" t="s">
        <v>258</v>
      </c>
      <c r="C1339" s="32" t="s">
        <v>94</v>
      </c>
      <c r="D1339" s="133"/>
      <c r="E1339" s="133"/>
      <c r="F1339" s="133"/>
      <c r="G1339" s="133"/>
      <c r="H1339" s="67">
        <f>+Table_1[[#This Row],[Column7]]+Table_1[[#This Row],[Column6]]+Table_1[[#This Row],[Column5]]+Table_1[[#This Row],[Column4]]</f>
        <v>0</v>
      </c>
      <c r="I1339" s="38">
        <v>917</v>
      </c>
      <c r="J1339" s="34">
        <f>'PACC GENERAL 2026'!$I1339*'PACC GENERAL 2026'!$H1339</f>
        <v>0</v>
      </c>
      <c r="K1339" s="35"/>
      <c r="L1339" s="32"/>
      <c r="M1339" s="86"/>
      <c r="N1339" s="86"/>
      <c r="O1339" s="32"/>
      <c r="P1339" s="320"/>
    </row>
    <row r="1340" spans="1:16" s="97" customFormat="1" ht="15.75" customHeight="1">
      <c r="A1340" s="9" t="s">
        <v>635</v>
      </c>
      <c r="B1340" s="10"/>
      <c r="C1340" s="10"/>
      <c r="D1340" s="152"/>
      <c r="E1340" s="152"/>
      <c r="F1340" s="152"/>
      <c r="G1340" s="152"/>
      <c r="H1340" s="111"/>
      <c r="I1340" s="44"/>
      <c r="J1340" s="12"/>
      <c r="K1340" s="13">
        <f>+J1339</f>
        <v>0</v>
      </c>
      <c r="L1340" s="73"/>
      <c r="M1340" s="10"/>
      <c r="N1340" s="10"/>
      <c r="O1340" s="73"/>
      <c r="P1340" s="321"/>
    </row>
    <row r="1341" spans="1:16" ht="15.75" customHeight="1">
      <c r="A1341" s="31" t="s">
        <v>46</v>
      </c>
      <c r="B1341" s="48" t="s">
        <v>454</v>
      </c>
      <c r="C1341" s="63" t="s">
        <v>94</v>
      </c>
      <c r="D1341" s="157"/>
      <c r="E1341" s="157"/>
      <c r="F1341" s="157"/>
      <c r="G1341" s="157"/>
      <c r="H1341" s="67">
        <f>+Table_1[[#This Row],[Column7]]+Table_1[[#This Row],[Column6]]+Table_1[[#This Row],[Column5]]+Table_1[[#This Row],[Column4]]</f>
        <v>0</v>
      </c>
      <c r="I1341" s="77">
        <v>20000</v>
      </c>
      <c r="J1341" s="34">
        <f>'PACC GENERAL 2026'!$I1341*'PACC GENERAL 2026'!$H1341</f>
        <v>0</v>
      </c>
      <c r="K1341" s="35"/>
      <c r="L1341" s="31"/>
      <c r="M1341" s="31"/>
      <c r="N1341" s="31"/>
      <c r="O1341" s="32"/>
      <c r="P1341" s="97"/>
    </row>
    <row r="1342" spans="1:16" s="97" customFormat="1" ht="15.75" customHeight="1">
      <c r="A1342" s="31" t="s">
        <v>46</v>
      </c>
      <c r="B1342" s="36" t="s">
        <v>327</v>
      </c>
      <c r="C1342" s="32" t="s">
        <v>94</v>
      </c>
      <c r="D1342" s="133"/>
      <c r="E1342" s="133">
        <v>1</v>
      </c>
      <c r="F1342" s="151"/>
      <c r="G1342" s="133"/>
      <c r="H1342" s="67">
        <f>+Table_1[[#This Row],[Column7]]+Table_1[[#This Row],[Column6]]+Table_1[[#This Row],[Column5]]+Table_1[[#This Row],[Column4]]</f>
        <v>1</v>
      </c>
      <c r="I1342" s="38">
        <v>14600</v>
      </c>
      <c r="J1342" s="17">
        <f>'PACC GENERAL 2026'!$I1342*'PACC GENERAL 2026'!$H1342</f>
        <v>14600</v>
      </c>
      <c r="K1342" s="8"/>
      <c r="L1342" s="16"/>
      <c r="M1342" s="16"/>
      <c r="N1342" s="16"/>
      <c r="O1342" s="32" t="s">
        <v>975</v>
      </c>
      <c r="P1342" s="278"/>
    </row>
    <row r="1343" spans="1:16" ht="15.75" customHeight="1">
      <c r="A1343" s="31" t="s">
        <v>46</v>
      </c>
      <c r="B1343" s="36" t="s">
        <v>454</v>
      </c>
      <c r="C1343" s="32" t="s">
        <v>94</v>
      </c>
      <c r="D1343" s="133"/>
      <c r="E1343" s="133">
        <v>25</v>
      </c>
      <c r="F1343" s="151"/>
      <c r="G1343" s="133"/>
      <c r="H1343" s="67">
        <f>+Table_1[[#This Row],[Column7]]+Table_1[[#This Row],[Column6]]+Table_1[[#This Row],[Column5]]+Table_1[[#This Row],[Column4]]</f>
        <v>25</v>
      </c>
      <c r="I1343" s="38">
        <v>20000</v>
      </c>
      <c r="J1343" s="17">
        <f>'PACC GENERAL 2026'!$I1343*'PACC GENERAL 2026'!$H1343</f>
        <v>500000</v>
      </c>
      <c r="K1343" s="8"/>
      <c r="L1343" s="16"/>
      <c r="M1343" s="16"/>
      <c r="N1343" s="16"/>
      <c r="O1343" s="32" t="s">
        <v>434</v>
      </c>
      <c r="P1343" s="321"/>
    </row>
    <row r="1344" spans="1:16" ht="15.75" customHeight="1">
      <c r="A1344" s="31" t="s">
        <v>46</v>
      </c>
      <c r="B1344" s="36" t="s">
        <v>327</v>
      </c>
      <c r="C1344" s="32" t="s">
        <v>94</v>
      </c>
      <c r="D1344" s="133"/>
      <c r="E1344" s="133">
        <v>30</v>
      </c>
      <c r="F1344" s="151"/>
      <c r="G1344" s="133"/>
      <c r="H1344" s="67">
        <f>+Table_1[[#This Row],[Column7]]+Table_1[[#This Row],[Column6]]+Table_1[[#This Row],[Column5]]+Table_1[[#This Row],[Column4]]</f>
        <v>30</v>
      </c>
      <c r="I1344" s="38">
        <v>14600</v>
      </c>
      <c r="J1344" s="17">
        <f>'PACC GENERAL 2026'!$I1344*'PACC GENERAL 2026'!$H1344</f>
        <v>438000</v>
      </c>
      <c r="K1344" s="8"/>
      <c r="L1344" s="16"/>
      <c r="M1344" s="16"/>
      <c r="N1344" s="16"/>
      <c r="O1344" s="32" t="s">
        <v>434</v>
      </c>
      <c r="P1344" s="321"/>
    </row>
    <row r="1345" spans="1:16" ht="15.75" customHeight="1">
      <c r="A1345" s="31" t="s">
        <v>46</v>
      </c>
      <c r="B1345" s="36" t="s">
        <v>1181</v>
      </c>
      <c r="C1345" s="32" t="s">
        <v>94</v>
      </c>
      <c r="D1345" s="133"/>
      <c r="E1345" s="133">
        <v>50</v>
      </c>
      <c r="F1345" s="151"/>
      <c r="G1345" s="133"/>
      <c r="H1345" s="67">
        <f>+Table_1[[#This Row],[Column7]]+Table_1[[#This Row],[Column6]]+Table_1[[#This Row],[Column5]]+Table_1[[#This Row],[Column4]]</f>
        <v>50</v>
      </c>
      <c r="I1345" s="38">
        <v>2500</v>
      </c>
      <c r="J1345" s="17">
        <f>'PACC GENERAL 2026'!$I1345*'PACC GENERAL 2026'!$H1345</f>
        <v>125000</v>
      </c>
      <c r="K1345" s="8"/>
      <c r="L1345" s="16"/>
      <c r="M1345" s="16"/>
      <c r="N1345" s="16"/>
      <c r="O1345" s="32" t="s">
        <v>434</v>
      </c>
      <c r="P1345" s="321"/>
    </row>
    <row r="1346" spans="1:16" ht="15.75" customHeight="1">
      <c r="A1346" s="31" t="s">
        <v>46</v>
      </c>
      <c r="B1346" s="36" t="s">
        <v>1182</v>
      </c>
      <c r="C1346" s="32" t="s">
        <v>94</v>
      </c>
      <c r="D1346" s="133"/>
      <c r="E1346" s="133">
        <v>50</v>
      </c>
      <c r="F1346" s="151"/>
      <c r="G1346" s="133"/>
      <c r="H1346" s="67">
        <f>+Table_1[[#This Row],[Column7]]+Table_1[[#This Row],[Column6]]+Table_1[[#This Row],[Column5]]+Table_1[[#This Row],[Column4]]</f>
        <v>50</v>
      </c>
      <c r="I1346" s="38">
        <v>25000</v>
      </c>
      <c r="J1346" s="17">
        <f>'PACC GENERAL 2026'!$I1346*'PACC GENERAL 2026'!$H1346</f>
        <v>1250000</v>
      </c>
      <c r="K1346" s="8"/>
      <c r="L1346" s="16"/>
      <c r="M1346" s="16"/>
      <c r="N1346" s="16"/>
      <c r="O1346" s="32" t="s">
        <v>434</v>
      </c>
      <c r="P1346" s="321"/>
    </row>
    <row r="1347" spans="1:16" ht="15.75" customHeight="1">
      <c r="A1347" s="31" t="s">
        <v>46</v>
      </c>
      <c r="B1347" s="36" t="s">
        <v>612</v>
      </c>
      <c r="C1347" s="32" t="s">
        <v>199</v>
      </c>
      <c r="D1347" s="133"/>
      <c r="E1347" s="137"/>
      <c r="F1347" s="137"/>
      <c r="G1347" s="133"/>
      <c r="H1347" s="67">
        <f>+Table_1[[#This Row],[Column7]]+Table_1[[#This Row],[Column6]]+Table_1[[#This Row],[Column5]]+Table_1[[#This Row],[Column4]]</f>
        <v>0</v>
      </c>
      <c r="I1347" s="38">
        <v>600000</v>
      </c>
      <c r="J1347" s="34">
        <f>'PACC GENERAL 2026'!$I1347*'PACC GENERAL 2026'!$H1347</f>
        <v>0</v>
      </c>
      <c r="K1347" s="35"/>
      <c r="L1347" s="31"/>
      <c r="M1347" s="31"/>
      <c r="N1347" s="31"/>
      <c r="O1347" s="32"/>
      <c r="P1347" s="320"/>
    </row>
    <row r="1348" spans="1:16" s="97" customFormat="1" ht="15.75" customHeight="1">
      <c r="A1348" s="31" t="s">
        <v>46</v>
      </c>
      <c r="B1348" s="36" t="s">
        <v>328</v>
      </c>
      <c r="C1348" s="32" t="s">
        <v>94</v>
      </c>
      <c r="D1348" s="133"/>
      <c r="E1348" s="133"/>
      <c r="F1348" s="151"/>
      <c r="G1348" s="133"/>
      <c r="H1348" s="67">
        <f>+Table_1[[#This Row],[Column7]]+Table_1[[#This Row],[Column6]]+Table_1[[#This Row],[Column5]]+Table_1[[#This Row],[Column4]]</f>
        <v>0</v>
      </c>
      <c r="I1348" s="38">
        <v>21240</v>
      </c>
      <c r="J1348" s="17">
        <f>'PACC GENERAL 2026'!$I1348*'PACC GENERAL 2026'!$H1348</f>
        <v>0</v>
      </c>
      <c r="K1348" s="8"/>
      <c r="L1348" s="16"/>
      <c r="M1348" s="16"/>
      <c r="N1348" s="16"/>
      <c r="O1348" s="32"/>
      <c r="P1348" s="278"/>
    </row>
    <row r="1349" spans="1:16" ht="15.75" customHeight="1">
      <c r="A1349" s="9" t="s">
        <v>46</v>
      </c>
      <c r="B1349" s="10"/>
      <c r="C1349" s="10"/>
      <c r="D1349" s="152"/>
      <c r="E1349" s="152"/>
      <c r="F1349" s="152"/>
      <c r="G1349" s="152"/>
      <c r="H1349" s="111"/>
      <c r="I1349" s="44"/>
      <c r="J1349" s="12"/>
      <c r="K1349" s="13">
        <f>SUM(J1341:J1348)</f>
        <v>2327600</v>
      </c>
      <c r="L1349" s="10"/>
      <c r="M1349" s="10"/>
      <c r="N1349" s="10"/>
      <c r="O1349" s="73"/>
    </row>
    <row r="1350" spans="1:16" ht="15.75" customHeight="1">
      <c r="A1350" s="16" t="s">
        <v>1383</v>
      </c>
      <c r="B1350" s="16" t="s">
        <v>610</v>
      </c>
      <c r="C1350" s="276" t="s">
        <v>199</v>
      </c>
      <c r="E1350" s="234">
        <v>20</v>
      </c>
      <c r="F1350" s="232"/>
      <c r="G1350" s="232"/>
      <c r="H1350" s="67">
        <f>+Table_1[[#This Row],[Column7]]+Table_1[[#This Row],[Column6]]+Table_1[[#This Row],[Column5]]+Table_1[[#This Row],[Column4]]</f>
        <v>20</v>
      </c>
      <c r="I1350" s="233">
        <v>3000</v>
      </c>
      <c r="J1350" s="34">
        <f>'PACC GENERAL 2026'!$I1350*'PACC GENERAL 2026'!$H1350</f>
        <v>60000</v>
      </c>
      <c r="K1350" s="17"/>
      <c r="L1350" s="16"/>
      <c r="M1350" s="16"/>
      <c r="N1350" s="16"/>
      <c r="O1350" s="276" t="s">
        <v>414</v>
      </c>
      <c r="P1350" s="319"/>
    </row>
    <row r="1351" spans="1:16" ht="15.75" customHeight="1">
      <c r="A1351" s="16" t="s">
        <v>1383</v>
      </c>
      <c r="B1351" s="16" t="s">
        <v>611</v>
      </c>
      <c r="C1351" s="276" t="s">
        <v>199</v>
      </c>
      <c r="E1351" s="234">
        <v>20</v>
      </c>
      <c r="F1351" s="232"/>
      <c r="G1351" s="232"/>
      <c r="H1351" s="67">
        <f>+Table_1[[#This Row],[Column7]]+Table_1[[#This Row],[Column6]]+Table_1[[#This Row],[Column5]]+Table_1[[#This Row],[Column4]]</f>
        <v>20</v>
      </c>
      <c r="I1351" s="233">
        <v>3000</v>
      </c>
      <c r="J1351" s="34">
        <f>'PACC GENERAL 2026'!$I1351*'PACC GENERAL 2026'!$H1351</f>
        <v>60000</v>
      </c>
      <c r="K1351" s="17"/>
      <c r="L1351" s="16"/>
      <c r="M1351" s="16"/>
      <c r="N1351" s="16"/>
      <c r="O1351" s="276" t="s">
        <v>414</v>
      </c>
      <c r="P1351" s="319"/>
    </row>
    <row r="1352" spans="1:16" ht="15.75" customHeight="1">
      <c r="A1352" s="9" t="s">
        <v>1383</v>
      </c>
      <c r="B1352" s="10"/>
      <c r="C1352" s="10"/>
      <c r="D1352" s="152"/>
      <c r="E1352" s="152"/>
      <c r="F1352" s="152"/>
      <c r="G1352" s="152"/>
      <c r="H1352" s="111"/>
      <c r="I1352" s="44"/>
      <c r="J1352" s="12"/>
      <c r="K1352" s="13">
        <f>SUM(J1350:J1351)</f>
        <v>120000</v>
      </c>
      <c r="L1352" s="10"/>
      <c r="M1352" s="10"/>
      <c r="N1352" s="10"/>
      <c r="O1352" s="73"/>
    </row>
    <row r="1353" spans="1:16" ht="15.75" customHeight="1">
      <c r="A1353" s="31" t="s">
        <v>47</v>
      </c>
      <c r="B1353" s="31" t="s">
        <v>329</v>
      </c>
      <c r="C1353" s="32" t="s">
        <v>94</v>
      </c>
      <c r="D1353" s="133"/>
      <c r="E1353" s="133"/>
      <c r="F1353" s="133"/>
      <c r="G1353" s="137"/>
      <c r="H1353" s="67">
        <f>+Table_1[[#This Row],[Column7]]+Table_1[[#This Row],[Column6]]+Table_1[[#This Row],[Column5]]+Table_1[[#This Row],[Column4]]</f>
        <v>0</v>
      </c>
      <c r="I1353" s="177">
        <v>631.89</v>
      </c>
      <c r="J1353" s="201">
        <f>'PACC GENERAL 2026'!$I1353*'PACC GENERAL 2026'!$H1353</f>
        <v>0</v>
      </c>
      <c r="K1353" s="186"/>
      <c r="L1353" s="174"/>
      <c r="M1353" s="174"/>
      <c r="N1353" s="174"/>
      <c r="O1353" s="32"/>
      <c r="P1353" s="97"/>
    </row>
    <row r="1354" spans="1:16" s="97" customFormat="1" ht="15.75" customHeight="1">
      <c r="A1354" s="31" t="s">
        <v>47</v>
      </c>
      <c r="B1354" s="31" t="s">
        <v>329</v>
      </c>
      <c r="C1354" s="32" t="s">
        <v>94</v>
      </c>
      <c r="D1354" s="133">
        <v>25</v>
      </c>
      <c r="E1354" s="133"/>
      <c r="F1354" s="133"/>
      <c r="G1354" s="137"/>
      <c r="H1354" s="67">
        <f>+Table_1[[#This Row],[Column7]]+Table_1[[#This Row],[Column6]]+Table_1[[#This Row],[Column5]]+Table_1[[#This Row],[Column4]]</f>
        <v>25</v>
      </c>
      <c r="I1354" s="77">
        <v>631.89</v>
      </c>
      <c r="J1354" s="201">
        <f>'PACC GENERAL 2026'!$I1354*'PACC GENERAL 2026'!$H1354</f>
        <v>15797.25</v>
      </c>
      <c r="K1354" s="103"/>
      <c r="L1354" s="48"/>
      <c r="M1354" s="48"/>
      <c r="N1354" s="48"/>
      <c r="O1354" s="32" t="s">
        <v>1220</v>
      </c>
      <c r="P1354" s="320"/>
    </row>
    <row r="1355" spans="1:16" s="97" customFormat="1" ht="15.75" customHeight="1">
      <c r="A1355" s="31" t="s">
        <v>47</v>
      </c>
      <c r="B1355" s="31" t="s">
        <v>330</v>
      </c>
      <c r="C1355" s="32" t="s">
        <v>94</v>
      </c>
      <c r="D1355" s="133">
        <v>10</v>
      </c>
      <c r="E1355" s="133"/>
      <c r="F1355" s="133"/>
      <c r="G1355" s="137"/>
      <c r="H1355" s="67">
        <f>+Table_1[[#This Row],[Column7]]+Table_1[[#This Row],[Column6]]+Table_1[[#This Row],[Column5]]+Table_1[[#This Row],[Column4]]</f>
        <v>10</v>
      </c>
      <c r="I1355" s="77">
        <v>365.32799999999997</v>
      </c>
      <c r="J1355" s="201">
        <f>'PACC GENERAL 2026'!$I1355*'PACC GENERAL 2026'!$H1355</f>
        <v>3653.2799999999997</v>
      </c>
      <c r="K1355" s="103"/>
      <c r="L1355" s="48"/>
      <c r="M1355" s="48"/>
      <c r="N1355" s="48"/>
      <c r="O1355" s="32" t="s">
        <v>1220</v>
      </c>
      <c r="P1355" s="320"/>
    </row>
    <row r="1356" spans="1:16" s="97" customFormat="1" ht="15.75" customHeight="1">
      <c r="A1356" s="31" t="s">
        <v>47</v>
      </c>
      <c r="B1356" s="31" t="s">
        <v>331</v>
      </c>
      <c r="C1356" s="32" t="s">
        <v>94</v>
      </c>
      <c r="D1356" s="133">
        <v>15</v>
      </c>
      <c r="E1356" s="133"/>
      <c r="F1356" s="133"/>
      <c r="G1356" s="137"/>
      <c r="H1356" s="67">
        <f>+Table_1[[#This Row],[Column7]]+Table_1[[#This Row],[Column6]]+Table_1[[#This Row],[Column5]]+Table_1[[#This Row],[Column4]]</f>
        <v>15</v>
      </c>
      <c r="I1356" s="77">
        <v>709.9351999999999</v>
      </c>
      <c r="J1356" s="201">
        <f>'PACC GENERAL 2026'!$I1356*'PACC GENERAL 2026'!$H1356</f>
        <v>10649.027999999998</v>
      </c>
      <c r="K1356" s="103"/>
      <c r="L1356" s="48"/>
      <c r="M1356" s="48"/>
      <c r="N1356" s="48"/>
      <c r="O1356" s="32" t="s">
        <v>1220</v>
      </c>
      <c r="P1356" s="320"/>
    </row>
    <row r="1357" spans="1:16" s="97" customFormat="1" ht="15.75" customHeight="1">
      <c r="A1357" s="31" t="s">
        <v>47</v>
      </c>
      <c r="B1357" s="31" t="s">
        <v>332</v>
      </c>
      <c r="C1357" s="32" t="s">
        <v>94</v>
      </c>
      <c r="D1357" s="133">
        <v>10</v>
      </c>
      <c r="E1357" s="133"/>
      <c r="F1357" s="133"/>
      <c r="G1357" s="137"/>
      <c r="H1357" s="67">
        <f>+Table_1[[#This Row],[Column7]]+Table_1[[#This Row],[Column6]]+Table_1[[#This Row],[Column5]]+Table_1[[#This Row],[Column4]]</f>
        <v>10</v>
      </c>
      <c r="I1357" s="77">
        <v>382.31999999999994</v>
      </c>
      <c r="J1357" s="201">
        <f>'PACC GENERAL 2026'!$I1357*'PACC GENERAL 2026'!$H1357</f>
        <v>3823.1999999999994</v>
      </c>
      <c r="K1357" s="103"/>
      <c r="L1357" s="48"/>
      <c r="M1357" s="48"/>
      <c r="N1357" s="48"/>
      <c r="O1357" s="32" t="s">
        <v>1220</v>
      </c>
      <c r="P1357" s="320"/>
    </row>
    <row r="1358" spans="1:16" s="97" customFormat="1" ht="15.75" customHeight="1">
      <c r="A1358" s="31" t="s">
        <v>47</v>
      </c>
      <c r="B1358" s="31" t="s">
        <v>333</v>
      </c>
      <c r="C1358" s="32" t="s">
        <v>94</v>
      </c>
      <c r="D1358" s="133">
        <v>10</v>
      </c>
      <c r="E1358" s="133"/>
      <c r="F1358" s="133"/>
      <c r="G1358" s="137"/>
      <c r="H1358" s="67">
        <f>+Table_1[[#This Row],[Column7]]+Table_1[[#This Row],[Column6]]+Table_1[[#This Row],[Column5]]+Table_1[[#This Row],[Column4]]</f>
        <v>10</v>
      </c>
      <c r="I1358" s="77">
        <v>2596</v>
      </c>
      <c r="J1358" s="201">
        <f>'PACC GENERAL 2026'!$I1358*'PACC GENERAL 2026'!$H1358</f>
        <v>25960</v>
      </c>
      <c r="K1358" s="103"/>
      <c r="L1358" s="48"/>
      <c r="M1358" s="48"/>
      <c r="N1358" s="48"/>
      <c r="O1358" s="32" t="s">
        <v>1220</v>
      </c>
      <c r="P1358" s="320"/>
    </row>
    <row r="1359" spans="1:16" s="97" customFormat="1" ht="15.75" customHeight="1">
      <c r="A1359" s="31" t="s">
        <v>47</v>
      </c>
      <c r="B1359" s="31" t="s">
        <v>333</v>
      </c>
      <c r="C1359" s="32" t="s">
        <v>94</v>
      </c>
      <c r="D1359" s="137"/>
      <c r="E1359" s="155">
        <v>60</v>
      </c>
      <c r="F1359" s="155"/>
      <c r="G1359" s="137"/>
      <c r="H1359" s="67">
        <f>+Table_1[[#This Row],[Column7]]+Table_1[[#This Row],[Column6]]+Table_1[[#This Row],[Column5]]+Table_1[[#This Row],[Column4]]</f>
        <v>60</v>
      </c>
      <c r="I1359" s="38">
        <v>2596</v>
      </c>
      <c r="J1359" s="201">
        <f>'PACC GENERAL 2026'!$I1359*'PACC GENERAL 2026'!$H1359</f>
        <v>155760</v>
      </c>
      <c r="K1359" s="35"/>
      <c r="L1359" s="31"/>
      <c r="M1359" s="31"/>
      <c r="N1359" s="32"/>
      <c r="O1359" s="32" t="s">
        <v>1004</v>
      </c>
      <c r="P1359" s="320"/>
    </row>
    <row r="1360" spans="1:16" s="97" customFormat="1" ht="15.75" customHeight="1">
      <c r="A1360" s="31" t="s">
        <v>47</v>
      </c>
      <c r="B1360" s="31" t="s">
        <v>813</v>
      </c>
      <c r="C1360" s="32" t="s">
        <v>94</v>
      </c>
      <c r="D1360" s="133">
        <v>60</v>
      </c>
      <c r="E1360" s="133"/>
      <c r="F1360" s="133"/>
      <c r="G1360" s="137"/>
      <c r="H1360" s="67">
        <f>+Table_1[[#This Row],[Column7]]+Table_1[[#This Row],[Column6]]+Table_1[[#This Row],[Column5]]+Table_1[[#This Row],[Column4]]</f>
        <v>60</v>
      </c>
      <c r="I1360" s="77">
        <v>2478</v>
      </c>
      <c r="J1360" s="201">
        <f>'PACC GENERAL 2026'!$I1360*'PACC GENERAL 2026'!$H1360</f>
        <v>148680</v>
      </c>
      <c r="K1360" s="103"/>
      <c r="L1360" s="48"/>
      <c r="M1360" s="48"/>
      <c r="N1360" s="48"/>
      <c r="O1360" s="32" t="s">
        <v>1469</v>
      </c>
      <c r="P1360" s="320"/>
    </row>
    <row r="1361" spans="1:16" s="97" customFormat="1" ht="15.75" customHeight="1">
      <c r="A1361" s="31" t="s">
        <v>47</v>
      </c>
      <c r="B1361" s="31" t="s">
        <v>813</v>
      </c>
      <c r="C1361" s="32" t="s">
        <v>94</v>
      </c>
      <c r="D1361" s="182"/>
      <c r="E1361" s="182"/>
      <c r="F1361" s="182"/>
      <c r="G1361" s="137"/>
      <c r="H1361" s="67">
        <f>+Table_1[[#This Row],[Column7]]+Table_1[[#This Row],[Column6]]+Table_1[[#This Row],[Column5]]+Table_1[[#This Row],[Column4]]</f>
        <v>0</v>
      </c>
      <c r="I1361" s="38">
        <v>2478</v>
      </c>
      <c r="J1361" s="34">
        <f>'PACC GENERAL 2026'!$I1361*'PACC GENERAL 2026'!$H1361</f>
        <v>0</v>
      </c>
      <c r="K1361" s="35"/>
      <c r="L1361" s="31"/>
      <c r="M1361" s="31"/>
      <c r="N1361" s="32"/>
      <c r="O1361" s="32"/>
    </row>
    <row r="1362" spans="1:16" s="97" customFormat="1" ht="15.75" customHeight="1">
      <c r="A1362" s="31" t="s">
        <v>47</v>
      </c>
      <c r="B1362" s="31" t="s">
        <v>419</v>
      </c>
      <c r="C1362" s="32" t="s">
        <v>93</v>
      </c>
      <c r="D1362" s="133"/>
      <c r="E1362" s="133"/>
      <c r="F1362" s="133"/>
      <c r="G1362" s="137"/>
      <c r="H1362" s="67">
        <f>+Table_1[[#This Row],[Column7]]+Table_1[[#This Row],[Column6]]+Table_1[[#This Row],[Column5]]+Table_1[[#This Row],[Column4]]</f>
        <v>0</v>
      </c>
      <c r="I1362" s="38">
        <v>1300</v>
      </c>
      <c r="J1362" s="34">
        <f>'PACC GENERAL 2026'!$I1362*'PACC GENERAL 2026'!$H1362</f>
        <v>0</v>
      </c>
      <c r="K1362" s="35"/>
      <c r="L1362" s="31"/>
      <c r="M1362" s="31"/>
      <c r="N1362" s="32"/>
      <c r="O1362" s="32"/>
    </row>
    <row r="1363" spans="1:16" s="97" customFormat="1" ht="15.75" customHeight="1">
      <c r="A1363" s="9" t="s">
        <v>47</v>
      </c>
      <c r="B1363" s="10" t="s">
        <v>117</v>
      </c>
      <c r="C1363" s="10"/>
      <c r="D1363" s="152"/>
      <c r="E1363" s="152"/>
      <c r="F1363" s="152"/>
      <c r="G1363" s="152"/>
      <c r="H1363" s="152"/>
      <c r="I1363" s="44"/>
      <c r="J1363" s="12"/>
      <c r="K1363" s="13">
        <f>SUM(J1353:J1362)</f>
        <v>364322.75800000003</v>
      </c>
      <c r="L1363" s="10"/>
      <c r="M1363" s="10"/>
      <c r="N1363" s="10"/>
      <c r="O1363" s="73"/>
      <c r="P1363" s="278"/>
    </row>
    <row r="1364" spans="1:16" ht="15.75" customHeight="1">
      <c r="A1364" s="31" t="s">
        <v>625</v>
      </c>
      <c r="B1364" s="66" t="s">
        <v>522</v>
      </c>
      <c r="C1364" s="32" t="s">
        <v>94</v>
      </c>
      <c r="D1364" s="137">
        <v>15</v>
      </c>
      <c r="E1364" s="133"/>
      <c r="F1364" s="133"/>
      <c r="G1364" s="133"/>
      <c r="H1364" s="67">
        <f>+Table_1[[#This Row],[Column7]]+Table_1[[#This Row],[Column6]]+Table_1[[#This Row],[Column5]]+Table_1[[#This Row],[Column4]]</f>
        <v>15</v>
      </c>
      <c r="I1364" s="125">
        <v>4600</v>
      </c>
      <c r="J1364" s="34">
        <f>'PACC GENERAL 2026'!$I1364*'PACC GENERAL 2026'!$H1364</f>
        <v>69000</v>
      </c>
      <c r="K1364" s="34"/>
      <c r="L1364" s="32"/>
      <c r="M1364" s="86"/>
      <c r="N1364" s="86"/>
      <c r="O1364" s="32" t="s">
        <v>1004</v>
      </c>
      <c r="P1364" s="320"/>
    </row>
    <row r="1365" spans="1:16" s="97" customFormat="1" ht="15.75" customHeight="1">
      <c r="A1365" s="9" t="s">
        <v>625</v>
      </c>
      <c r="B1365" s="10" t="s">
        <v>117</v>
      </c>
      <c r="C1365" s="10"/>
      <c r="D1365" s="152"/>
      <c r="E1365" s="152"/>
      <c r="F1365" s="152"/>
      <c r="G1365" s="152"/>
      <c r="H1365" s="109"/>
      <c r="I1365" s="44"/>
      <c r="J1365" s="12"/>
      <c r="K1365" s="13">
        <f>+J1364</f>
        <v>69000</v>
      </c>
      <c r="L1365" s="73"/>
      <c r="M1365" s="10"/>
      <c r="N1365" s="10"/>
      <c r="O1365" s="73"/>
      <c r="P1365" s="321"/>
    </row>
    <row r="1366" spans="1:16" ht="15.75" customHeight="1">
      <c r="A1366" s="16" t="s">
        <v>48</v>
      </c>
      <c r="B1366" s="16" t="s">
        <v>335</v>
      </c>
      <c r="C1366" s="276" t="s">
        <v>94</v>
      </c>
      <c r="D1366" s="149"/>
      <c r="E1366" s="149"/>
      <c r="F1366" s="133"/>
      <c r="G1366" s="149"/>
      <c r="H1366" s="67">
        <f>+Table_1[[#This Row],[Column7]]+Table_1[[#This Row],[Column6]]+Table_1[[#This Row],[Column5]]+Table_1[[#This Row],[Column4]]</f>
        <v>0</v>
      </c>
      <c r="I1366" s="43">
        <v>5.4</v>
      </c>
      <c r="J1366" s="17">
        <f>'PACC GENERAL 2026'!$I1366*'PACC GENERAL 2026'!$H1366</f>
        <v>0</v>
      </c>
      <c r="K1366" s="8"/>
      <c r="L1366" s="16"/>
      <c r="M1366" s="16"/>
      <c r="N1366" s="16"/>
      <c r="O1366" s="276"/>
    </row>
    <row r="1367" spans="1:16" ht="15.75" customHeight="1">
      <c r="A1367" s="31" t="s">
        <v>48</v>
      </c>
      <c r="B1367" s="31" t="s">
        <v>336</v>
      </c>
      <c r="C1367" s="32" t="s">
        <v>94</v>
      </c>
      <c r="D1367" s="140">
        <v>10</v>
      </c>
      <c r="E1367" s="133"/>
      <c r="F1367" s="133"/>
      <c r="G1367" s="140"/>
      <c r="H1367" s="67">
        <f>+Table_1[[#This Row],[Column7]]+Table_1[[#This Row],[Column6]]+Table_1[[#This Row],[Column5]]+Table_1[[#This Row],[Column4]]</f>
        <v>10</v>
      </c>
      <c r="I1367" s="38">
        <v>8673</v>
      </c>
      <c r="J1367" s="17">
        <f>'PACC GENERAL 2026'!$I1367*'PACC GENERAL 2026'!$H1367</f>
        <v>86730</v>
      </c>
      <c r="K1367" s="35"/>
      <c r="L1367" s="31"/>
      <c r="M1367" s="31"/>
      <c r="N1367" s="32"/>
      <c r="O1367" s="32" t="s">
        <v>1220</v>
      </c>
      <c r="P1367" s="97"/>
    </row>
    <row r="1368" spans="1:16" s="97" customFormat="1" ht="15.5">
      <c r="A1368" s="31" t="s">
        <v>48</v>
      </c>
      <c r="B1368" s="31" t="s">
        <v>692</v>
      </c>
      <c r="C1368" s="32" t="s">
        <v>94</v>
      </c>
      <c r="D1368" s="140">
        <v>30</v>
      </c>
      <c r="E1368" s="133"/>
      <c r="F1368" s="133"/>
      <c r="G1368" s="140"/>
      <c r="H1368" s="67">
        <f>+Table_1[[#This Row],[Column7]]+Table_1[[#This Row],[Column6]]+Table_1[[#This Row],[Column5]]+Table_1[[#This Row],[Column4]]</f>
        <v>30</v>
      </c>
      <c r="I1368" s="38">
        <v>599</v>
      </c>
      <c r="J1368" s="17">
        <f>'PACC GENERAL 2026'!$I1368*'PACC GENERAL 2026'!$H1368</f>
        <v>17970</v>
      </c>
      <c r="K1368" s="35"/>
      <c r="L1368" s="31"/>
      <c r="M1368" s="31"/>
      <c r="N1368" s="31"/>
      <c r="O1368" s="32" t="s">
        <v>1220</v>
      </c>
    </row>
    <row r="1369" spans="1:16" s="97" customFormat="1" ht="23.15" customHeight="1">
      <c r="A1369" s="31" t="s">
        <v>48</v>
      </c>
      <c r="B1369" s="31" t="s">
        <v>518</v>
      </c>
      <c r="C1369" s="32" t="s">
        <v>94</v>
      </c>
      <c r="D1369" s="182">
        <v>100</v>
      </c>
      <c r="E1369" s="182"/>
      <c r="F1369" s="182"/>
      <c r="G1369" s="133"/>
      <c r="H1369" s="67">
        <f>+Table_1[[#This Row],[Column7]]+Table_1[[#This Row],[Column6]]+Table_1[[#This Row],[Column5]]+Table_1[[#This Row],[Column4]]</f>
        <v>100</v>
      </c>
      <c r="I1369" s="38">
        <v>11</v>
      </c>
      <c r="J1369" s="17">
        <f>'PACC GENERAL 2026'!$I1369*'PACC GENERAL 2026'!$H1369</f>
        <v>1100</v>
      </c>
      <c r="K1369" s="35"/>
      <c r="L1369" s="31"/>
      <c r="M1369" s="31"/>
      <c r="N1369" s="32"/>
      <c r="O1369" s="32" t="s">
        <v>1220</v>
      </c>
      <c r="P1369" s="320"/>
    </row>
    <row r="1370" spans="1:16" s="97" customFormat="1" ht="15.5">
      <c r="A1370" s="31" t="s">
        <v>48</v>
      </c>
      <c r="B1370" s="31" t="s">
        <v>337</v>
      </c>
      <c r="C1370" s="32" t="s">
        <v>94</v>
      </c>
      <c r="D1370" s="133">
        <v>50</v>
      </c>
      <c r="E1370" s="133"/>
      <c r="F1370" s="133"/>
      <c r="G1370" s="133"/>
      <c r="H1370" s="67">
        <f>+Table_1[[#This Row],[Column7]]+Table_1[[#This Row],[Column6]]+Table_1[[#This Row],[Column5]]+Table_1[[#This Row],[Column4]]</f>
        <v>50</v>
      </c>
      <c r="I1370" s="38">
        <v>215</v>
      </c>
      <c r="J1370" s="17">
        <f>'PACC GENERAL 2026'!$I1370*'PACC GENERAL 2026'!$H1370</f>
        <v>10750</v>
      </c>
      <c r="K1370" s="35"/>
      <c r="L1370" s="31"/>
      <c r="M1370" s="31"/>
      <c r="N1370" s="32"/>
      <c r="O1370" s="32" t="s">
        <v>1220</v>
      </c>
    </row>
    <row r="1371" spans="1:16" s="97" customFormat="1" ht="20.149999999999999" customHeight="1">
      <c r="A1371" s="31" t="s">
        <v>48</v>
      </c>
      <c r="B1371" s="31" t="s">
        <v>339</v>
      </c>
      <c r="C1371" s="32" t="s">
        <v>94</v>
      </c>
      <c r="D1371" s="133"/>
      <c r="E1371" s="133">
        <v>2</v>
      </c>
      <c r="F1371" s="133"/>
      <c r="G1371" s="133"/>
      <c r="H1371" s="67">
        <f>+Table_1[[#This Row],[Column7]]+Table_1[[#This Row],[Column6]]+Table_1[[#This Row],[Column5]]+Table_1[[#This Row],[Column4]]</f>
        <v>2</v>
      </c>
      <c r="I1371" s="38">
        <v>4296</v>
      </c>
      <c r="J1371" s="17">
        <f>'PACC GENERAL 2026'!$I1371*'PACC GENERAL 2026'!$H1371</f>
        <v>8592</v>
      </c>
      <c r="K1371" s="35"/>
      <c r="L1371" s="31"/>
      <c r="M1371" s="31"/>
      <c r="N1371" s="31"/>
      <c r="O1371" s="32" t="s">
        <v>1220</v>
      </c>
      <c r="P1371" s="320"/>
    </row>
    <row r="1372" spans="1:16" s="97" customFormat="1" ht="15.75" customHeight="1">
      <c r="A1372" s="31" t="s">
        <v>48</v>
      </c>
      <c r="B1372" s="31" t="s">
        <v>518</v>
      </c>
      <c r="C1372" s="32" t="s">
        <v>94</v>
      </c>
      <c r="D1372" s="133"/>
      <c r="E1372" s="133"/>
      <c r="F1372" s="133"/>
      <c r="G1372" s="133"/>
      <c r="H1372" s="67">
        <f>+Table_1[[#This Row],[Column7]]+Table_1[[#This Row],[Column6]]+Table_1[[#This Row],[Column5]]+Table_1[[#This Row],[Column4]]</f>
        <v>0</v>
      </c>
      <c r="I1372" s="38">
        <v>11</v>
      </c>
      <c r="J1372" s="17">
        <f>'PACC GENERAL 2026'!$I1372*'PACC GENERAL 2026'!$H1372</f>
        <v>0</v>
      </c>
      <c r="K1372" s="35"/>
      <c r="L1372" s="31"/>
      <c r="M1372" s="174"/>
      <c r="N1372" s="179"/>
      <c r="O1372" s="32"/>
    </row>
    <row r="1373" spans="1:16" s="97" customFormat="1" ht="15.5">
      <c r="A1373" s="31" t="s">
        <v>48</v>
      </c>
      <c r="B1373" s="48" t="s">
        <v>1370</v>
      </c>
      <c r="C1373" s="317" t="s">
        <v>94</v>
      </c>
      <c r="D1373" s="231"/>
      <c r="E1373" s="157">
        <v>1</v>
      </c>
      <c r="F1373" s="157"/>
      <c r="G1373" s="157"/>
      <c r="H1373" s="67">
        <f>+Table_1[[#This Row],[Column7]]+Table_1[[#This Row],[Column6]]+Table_1[[#This Row],[Column5]]+Table_1[[#This Row],[Column4]]</f>
        <v>1</v>
      </c>
      <c r="I1373" s="86">
        <v>1000000</v>
      </c>
      <c r="J1373" s="34">
        <f>'PACC GENERAL 2026'!$I1373*'PACC GENERAL 2026'!$H1373</f>
        <v>1000000</v>
      </c>
      <c r="K1373" s="35"/>
      <c r="L1373" s="31"/>
      <c r="M1373" s="31"/>
      <c r="N1373" s="32"/>
      <c r="O1373" s="32" t="s">
        <v>1338</v>
      </c>
    </row>
    <row r="1374" spans="1:16" s="97" customFormat="1" ht="15.75" customHeight="1">
      <c r="A1374" s="31" t="s">
        <v>48</v>
      </c>
      <c r="B1374" s="31" t="s">
        <v>338</v>
      </c>
      <c r="C1374" s="32" t="s">
        <v>94</v>
      </c>
      <c r="D1374" s="133"/>
      <c r="E1374" s="133"/>
      <c r="F1374" s="133"/>
      <c r="G1374" s="133"/>
      <c r="H1374" s="67">
        <f>+Table_1[[#This Row],[Column7]]+Table_1[[#This Row],[Column6]]+Table_1[[#This Row],[Column5]]+Table_1[[#This Row],[Column4]]</f>
        <v>0</v>
      </c>
      <c r="I1374" s="38">
        <v>558</v>
      </c>
      <c r="J1374" s="17">
        <f>'PACC GENERAL 2026'!$I1374*'PACC GENERAL 2026'!$H1374</f>
        <v>0</v>
      </c>
      <c r="K1374" s="35"/>
      <c r="L1374" s="31"/>
      <c r="M1374" s="31"/>
      <c r="N1374" s="31"/>
      <c r="O1374" s="32"/>
    </row>
    <row r="1375" spans="1:16" ht="15.75" customHeight="1">
      <c r="A1375" s="9" t="s">
        <v>48</v>
      </c>
      <c r="B1375" s="10" t="s">
        <v>117</v>
      </c>
      <c r="C1375" s="10"/>
      <c r="D1375" s="152"/>
      <c r="E1375" s="152"/>
      <c r="F1375" s="152"/>
      <c r="G1375" s="152"/>
      <c r="H1375" s="152"/>
      <c r="I1375" s="44"/>
      <c r="J1375" s="12"/>
      <c r="K1375" s="13">
        <f>SUM(J1366:J1374)</f>
        <v>1125142</v>
      </c>
      <c r="L1375" s="10"/>
      <c r="M1375" s="10"/>
      <c r="N1375" s="10"/>
      <c r="O1375" s="73"/>
    </row>
    <row r="1376" spans="1:16" ht="15.75" customHeight="1">
      <c r="A1376" s="38" t="s">
        <v>744</v>
      </c>
      <c r="B1376" s="31" t="s">
        <v>455</v>
      </c>
      <c r="C1376" s="32" t="s">
        <v>94</v>
      </c>
      <c r="D1376" s="182"/>
      <c r="E1376" s="182"/>
      <c r="F1376" s="182"/>
      <c r="G1376" s="133"/>
      <c r="H1376" s="67">
        <f>+Table_1[[#This Row],[Column7]]+Table_1[[#This Row],[Column6]]+Table_1[[#This Row],[Column5]]+Table_1[[#This Row],[Column4]]</f>
        <v>0</v>
      </c>
      <c r="I1376" s="38">
        <v>2200</v>
      </c>
      <c r="J1376" s="34">
        <f>'PACC GENERAL 2026'!$I1376*'PACC GENERAL 2026'!$H1376</f>
        <v>0</v>
      </c>
      <c r="K1376" s="35"/>
      <c r="L1376" s="31"/>
      <c r="M1376" s="31"/>
      <c r="N1376" s="32"/>
      <c r="O1376" s="32"/>
      <c r="P1376" s="320"/>
    </row>
    <row r="1377" spans="1:16" s="97" customFormat="1" ht="15.75" customHeight="1">
      <c r="A1377" s="177" t="s">
        <v>744</v>
      </c>
      <c r="B1377" s="174" t="s">
        <v>334</v>
      </c>
      <c r="C1377" s="179" t="s">
        <v>94</v>
      </c>
      <c r="D1377" s="182"/>
      <c r="E1377" s="182"/>
      <c r="F1377" s="182"/>
      <c r="G1377" s="182"/>
      <c r="H1377" s="67">
        <f>+Table_1[[#This Row],[Column7]]+Table_1[[#This Row],[Column6]]+Table_1[[#This Row],[Column5]]+Table_1[[#This Row],[Column4]]</f>
        <v>0</v>
      </c>
      <c r="I1377" s="177">
        <v>4600</v>
      </c>
      <c r="J1377" s="34">
        <f>'PACC GENERAL 2026'!$I1377*'PACC GENERAL 2026'!$H1377</f>
        <v>0</v>
      </c>
      <c r="K1377" s="186"/>
      <c r="L1377" s="174"/>
      <c r="M1377" s="174"/>
      <c r="N1377" s="179"/>
      <c r="O1377" s="32"/>
      <c r="P1377" s="320"/>
    </row>
    <row r="1378" spans="1:16" s="97" customFormat="1" ht="15.75" customHeight="1">
      <c r="A1378" s="38" t="s">
        <v>744</v>
      </c>
      <c r="B1378" s="31" t="s">
        <v>456</v>
      </c>
      <c r="C1378" s="32" t="s">
        <v>94</v>
      </c>
      <c r="D1378" s="133"/>
      <c r="E1378" s="133"/>
      <c r="F1378" s="133"/>
      <c r="G1378" s="133"/>
      <c r="H1378" s="67">
        <f>+Table_1[[#This Row],[Column7]]+Table_1[[#This Row],[Column6]]+Table_1[[#This Row],[Column5]]+Table_1[[#This Row],[Column4]]</f>
        <v>0</v>
      </c>
      <c r="I1378" s="38">
        <v>3500</v>
      </c>
      <c r="J1378" s="34">
        <f>'PACC GENERAL 2026'!$I1378*'PACC GENERAL 2026'!$H1378</f>
        <v>0</v>
      </c>
      <c r="K1378" s="35"/>
      <c r="L1378" s="31"/>
      <c r="M1378" s="31"/>
      <c r="N1378" s="32"/>
      <c r="O1378" s="32"/>
      <c r="P1378" s="320"/>
    </row>
    <row r="1379" spans="1:16" s="97" customFormat="1" ht="15.75" customHeight="1">
      <c r="A1379" s="38" t="s">
        <v>744</v>
      </c>
      <c r="B1379" s="31" t="s">
        <v>457</v>
      </c>
      <c r="C1379" s="32" t="s">
        <v>94</v>
      </c>
      <c r="D1379" s="133"/>
      <c r="E1379" s="133"/>
      <c r="F1379" s="133"/>
      <c r="G1379" s="133"/>
      <c r="H1379" s="67">
        <f>+Table_1[[#This Row],[Column7]]+Table_1[[#This Row],[Column6]]+Table_1[[#This Row],[Column5]]+Table_1[[#This Row],[Column4]]</f>
        <v>0</v>
      </c>
      <c r="I1379" s="38">
        <v>5500</v>
      </c>
      <c r="J1379" s="34">
        <f>'PACC GENERAL 2026'!$I1379*'PACC GENERAL 2026'!$H1379</f>
        <v>0</v>
      </c>
      <c r="K1379" s="35"/>
      <c r="L1379" s="31"/>
      <c r="M1379" s="31"/>
      <c r="N1379" s="32"/>
      <c r="O1379" s="32"/>
      <c r="P1379" s="320"/>
    </row>
    <row r="1380" spans="1:16" s="97" customFormat="1" ht="15.75" customHeight="1">
      <c r="A1380" s="9" t="s">
        <v>744</v>
      </c>
      <c r="B1380" s="10"/>
      <c r="C1380" s="10"/>
      <c r="D1380" s="152"/>
      <c r="E1380" s="152"/>
      <c r="F1380" s="152"/>
      <c r="G1380" s="152"/>
      <c r="H1380" s="152"/>
      <c r="I1380" s="44"/>
      <c r="J1380" s="12"/>
      <c r="K1380" s="13">
        <f>SUM(J1376:J1379)</f>
        <v>0</v>
      </c>
      <c r="L1380" s="10"/>
      <c r="M1380" s="10"/>
      <c r="N1380" s="10"/>
      <c r="O1380" s="73"/>
      <c r="P1380" s="278"/>
    </row>
    <row r="1381" spans="1:16" ht="15.75" customHeight="1">
      <c r="A1381" s="38" t="s">
        <v>49</v>
      </c>
      <c r="B1381" s="31" t="s">
        <v>1183</v>
      </c>
      <c r="C1381" s="32" t="s">
        <v>94</v>
      </c>
      <c r="D1381" s="133"/>
      <c r="E1381" s="133">
        <v>10</v>
      </c>
      <c r="F1381" s="133"/>
      <c r="G1381" s="133"/>
      <c r="H1381" s="67">
        <f t="shared" ref="H1381:H1387" si="34">SUM(D1381:G1381)</f>
        <v>10</v>
      </c>
      <c r="I1381" s="38">
        <v>9000</v>
      </c>
      <c r="J1381" s="34">
        <f t="shared" ref="J1381:J1387" si="35">H1381*I1381</f>
        <v>90000</v>
      </c>
      <c r="K1381" s="35"/>
      <c r="L1381" s="31"/>
      <c r="M1381" s="31"/>
      <c r="N1381" s="32"/>
      <c r="O1381" s="32" t="s">
        <v>434</v>
      </c>
      <c r="P1381" s="97"/>
    </row>
    <row r="1382" spans="1:16" s="97" customFormat="1" ht="15.75" customHeight="1">
      <c r="A1382" s="38" t="s">
        <v>49</v>
      </c>
      <c r="B1382" s="31" t="s">
        <v>665</v>
      </c>
      <c r="C1382" s="32" t="s">
        <v>94</v>
      </c>
      <c r="D1382" s="133"/>
      <c r="E1382" s="133">
        <v>60</v>
      </c>
      <c r="F1382" s="133"/>
      <c r="G1382" s="133"/>
      <c r="H1382" s="67">
        <f t="shared" si="34"/>
        <v>60</v>
      </c>
      <c r="I1382" s="38">
        <v>1800</v>
      </c>
      <c r="J1382" s="34">
        <f t="shared" si="35"/>
        <v>108000</v>
      </c>
      <c r="K1382" s="35"/>
      <c r="L1382" s="31"/>
      <c r="M1382" s="31"/>
      <c r="N1382" s="32"/>
      <c r="O1382" s="32" t="s">
        <v>1338</v>
      </c>
      <c r="P1382" s="320"/>
    </row>
    <row r="1383" spans="1:16" s="97" customFormat="1" ht="15.75" customHeight="1">
      <c r="A1383" s="38" t="s">
        <v>49</v>
      </c>
      <c r="B1383" s="31" t="s">
        <v>666</v>
      </c>
      <c r="C1383" s="32" t="s">
        <v>98</v>
      </c>
      <c r="D1383" s="133"/>
      <c r="E1383" s="133">
        <v>12000</v>
      </c>
      <c r="F1383" s="133"/>
      <c r="G1383" s="133"/>
      <c r="H1383" s="67">
        <f t="shared" si="34"/>
        <v>12000</v>
      </c>
      <c r="I1383" s="38">
        <v>79.06</v>
      </c>
      <c r="J1383" s="34">
        <f t="shared" si="35"/>
        <v>948720</v>
      </c>
      <c r="K1383" s="35"/>
      <c r="L1383" s="31"/>
      <c r="M1383" s="31"/>
      <c r="N1383" s="32"/>
      <c r="O1383" s="32" t="s">
        <v>1338</v>
      </c>
      <c r="P1383" s="320"/>
    </row>
    <row r="1384" spans="1:16" s="97" customFormat="1" ht="15.75" customHeight="1">
      <c r="A1384" s="38" t="s">
        <v>49</v>
      </c>
      <c r="B1384" s="31" t="s">
        <v>667</v>
      </c>
      <c r="C1384" s="32" t="s">
        <v>1363</v>
      </c>
      <c r="D1384" s="133"/>
      <c r="E1384" s="133">
        <v>60</v>
      </c>
      <c r="F1384" s="133"/>
      <c r="G1384" s="133"/>
      <c r="H1384" s="67">
        <f t="shared" si="34"/>
        <v>60</v>
      </c>
      <c r="I1384" s="38">
        <v>9000</v>
      </c>
      <c r="J1384" s="34">
        <f t="shared" si="35"/>
        <v>540000</v>
      </c>
      <c r="K1384" s="35"/>
      <c r="L1384" s="31"/>
      <c r="M1384" s="31"/>
      <c r="N1384" s="32"/>
      <c r="O1384" s="32" t="s">
        <v>1338</v>
      </c>
      <c r="P1384" s="320"/>
    </row>
    <row r="1385" spans="1:16" s="97" customFormat="1" ht="15.75" customHeight="1">
      <c r="A1385" s="38" t="s">
        <v>49</v>
      </c>
      <c r="B1385" s="31" t="s">
        <v>668</v>
      </c>
      <c r="C1385" s="32" t="s">
        <v>94</v>
      </c>
      <c r="D1385" s="133"/>
      <c r="E1385" s="133">
        <v>6000</v>
      </c>
      <c r="F1385" s="133"/>
      <c r="G1385" s="133"/>
      <c r="H1385" s="67">
        <f t="shared" si="34"/>
        <v>6000</v>
      </c>
      <c r="I1385" s="38">
        <v>61.36</v>
      </c>
      <c r="J1385" s="34">
        <f t="shared" si="35"/>
        <v>368160</v>
      </c>
      <c r="K1385" s="35"/>
      <c r="L1385" s="31"/>
      <c r="M1385" s="31"/>
      <c r="N1385" s="32"/>
      <c r="O1385" s="32" t="s">
        <v>1338</v>
      </c>
      <c r="P1385" s="320"/>
    </row>
    <row r="1386" spans="1:16" s="97" customFormat="1" ht="15.75" customHeight="1">
      <c r="A1386" s="38" t="s">
        <v>49</v>
      </c>
      <c r="B1386" s="31" t="s">
        <v>670</v>
      </c>
      <c r="C1386" s="32" t="s">
        <v>94</v>
      </c>
      <c r="D1386" s="133"/>
      <c r="E1386" s="133">
        <v>6000</v>
      </c>
      <c r="F1386" s="133"/>
      <c r="G1386" s="133"/>
      <c r="H1386" s="67">
        <f t="shared" si="34"/>
        <v>6000</v>
      </c>
      <c r="I1386" s="38">
        <v>97.94</v>
      </c>
      <c r="J1386" s="34">
        <f t="shared" si="35"/>
        <v>587640</v>
      </c>
      <c r="K1386" s="35"/>
      <c r="L1386" s="31"/>
      <c r="M1386" s="31"/>
      <c r="N1386" s="32"/>
      <c r="O1386" s="32" t="s">
        <v>1338</v>
      </c>
      <c r="P1386" s="320"/>
    </row>
    <row r="1387" spans="1:16" s="97" customFormat="1" ht="15.75" customHeight="1">
      <c r="A1387" s="38" t="s">
        <v>49</v>
      </c>
      <c r="B1387" s="31" t="s">
        <v>669</v>
      </c>
      <c r="C1387" s="32" t="s">
        <v>1364</v>
      </c>
      <c r="D1387" s="133"/>
      <c r="E1387" s="133">
        <v>10</v>
      </c>
      <c r="F1387" s="133"/>
      <c r="G1387" s="133"/>
      <c r="H1387" s="67">
        <f t="shared" si="34"/>
        <v>10</v>
      </c>
      <c r="I1387" s="38">
        <v>5000</v>
      </c>
      <c r="J1387" s="34">
        <f t="shared" si="35"/>
        <v>50000</v>
      </c>
      <c r="K1387" s="35"/>
      <c r="L1387" s="31"/>
      <c r="M1387" s="31"/>
      <c r="N1387" s="32"/>
      <c r="O1387" s="32" t="s">
        <v>1338</v>
      </c>
      <c r="P1387" s="320"/>
    </row>
    <row r="1388" spans="1:16" s="97" customFormat="1" ht="15.75" customHeight="1">
      <c r="A1388" s="9" t="s">
        <v>49</v>
      </c>
      <c r="B1388" s="10"/>
      <c r="C1388" s="10"/>
      <c r="D1388" s="152"/>
      <c r="E1388" s="152"/>
      <c r="F1388" s="152"/>
      <c r="G1388" s="152"/>
      <c r="H1388" s="152"/>
      <c r="I1388" s="44"/>
      <c r="J1388" s="12"/>
      <c r="K1388" s="13">
        <f>SUM(J1381:J1387)</f>
        <v>2692520</v>
      </c>
      <c r="L1388" s="10"/>
      <c r="M1388" s="10"/>
      <c r="N1388" s="10"/>
      <c r="O1388" s="73"/>
      <c r="P1388" s="278"/>
    </row>
    <row r="1389" spans="1:16" s="97" customFormat="1" ht="15.5">
      <c r="A1389" s="31" t="s">
        <v>50</v>
      </c>
      <c r="B1389" s="31" t="s">
        <v>1184</v>
      </c>
      <c r="C1389" s="32" t="s">
        <v>94</v>
      </c>
      <c r="D1389" s="133"/>
      <c r="E1389" s="133">
        <v>5</v>
      </c>
      <c r="F1389" s="133"/>
      <c r="G1389" s="133"/>
      <c r="H1389" s="67">
        <f>+Table_1[[#This Row],[Column7]]+Table_1[[#This Row],[Column6]]+Table_1[[#This Row],[Column5]]+Table_1[[#This Row],[Column4]]</f>
        <v>5</v>
      </c>
      <c r="I1389" s="38">
        <v>4000</v>
      </c>
      <c r="J1389" s="34">
        <f>'PACC GENERAL 2026'!$I1389*'PACC GENERAL 2026'!$H1389</f>
        <v>20000</v>
      </c>
      <c r="K1389" s="35"/>
      <c r="L1389" s="32"/>
      <c r="M1389" s="31"/>
      <c r="N1389" s="31"/>
      <c r="O1389" s="32" t="s">
        <v>434</v>
      </c>
    </row>
    <row r="1390" spans="1:16" s="414" customFormat="1" ht="15" customHeight="1">
      <c r="A1390" s="126" t="s">
        <v>50</v>
      </c>
      <c r="B1390" s="399" t="s">
        <v>1102</v>
      </c>
      <c r="C1390" s="407" t="s">
        <v>94</v>
      </c>
      <c r="D1390" s="408"/>
      <c r="E1390" s="408">
        <f>50-5</f>
        <v>45</v>
      </c>
      <c r="F1390" s="408"/>
      <c r="G1390" s="409"/>
      <c r="H1390" s="410">
        <f>SUM(D1390:G1390)</f>
        <v>45</v>
      </c>
      <c r="I1390" s="274">
        <v>10980</v>
      </c>
      <c r="J1390" s="411">
        <f>H1390*I1390</f>
        <v>494100</v>
      </c>
      <c r="K1390" s="412"/>
      <c r="L1390" s="399"/>
      <c r="M1390" s="399"/>
      <c r="N1390" s="399"/>
      <c r="O1390" s="407" t="s">
        <v>1101</v>
      </c>
      <c r="P1390" s="413"/>
    </row>
    <row r="1391" spans="1:16" s="414" customFormat="1" ht="15" customHeight="1">
      <c r="A1391" s="126" t="s">
        <v>50</v>
      </c>
      <c r="B1391" s="399" t="s">
        <v>566</v>
      </c>
      <c r="C1391" s="407" t="s">
        <v>94</v>
      </c>
      <c r="D1391" s="408"/>
      <c r="E1391" s="408">
        <f>75-30</f>
        <v>45</v>
      </c>
      <c r="F1391" s="408"/>
      <c r="G1391" s="409"/>
      <c r="H1391" s="410">
        <f>SUM(D1391:G1391)</f>
        <v>45</v>
      </c>
      <c r="I1391" s="274">
        <v>4950</v>
      </c>
      <c r="J1391" s="411">
        <f>H1391*I1391</f>
        <v>222750</v>
      </c>
      <c r="K1391" s="412"/>
      <c r="L1391" s="399"/>
      <c r="M1391" s="399"/>
      <c r="N1391" s="399"/>
      <c r="O1391" s="407" t="s">
        <v>1101</v>
      </c>
      <c r="P1391" s="413"/>
    </row>
    <row r="1392" spans="1:16" s="414" customFormat="1" ht="15" customHeight="1">
      <c r="A1392" s="126" t="s">
        <v>50</v>
      </c>
      <c r="B1392" s="399" t="s">
        <v>1366</v>
      </c>
      <c r="C1392" s="407" t="s">
        <v>94</v>
      </c>
      <c r="D1392" s="408"/>
      <c r="E1392" s="408">
        <v>200</v>
      </c>
      <c r="F1392" s="408"/>
      <c r="G1392" s="409"/>
      <c r="H1392" s="410">
        <f>+Table_1[[#This Row],[Column7]]+Table_1[[#This Row],[Column6]]+Table_1[[#This Row],[Column5]]+Table_1[[#This Row],[Column4]]</f>
        <v>200</v>
      </c>
      <c r="I1392" s="274">
        <v>16500</v>
      </c>
      <c r="J1392" s="419">
        <f>'PACC GENERAL 2026'!$I1392*'PACC GENERAL 2026'!$H1392</f>
        <v>3300000</v>
      </c>
      <c r="K1392" s="412"/>
      <c r="L1392" s="399"/>
      <c r="M1392" s="399"/>
      <c r="N1392" s="399"/>
      <c r="O1392" s="407" t="s">
        <v>1338</v>
      </c>
      <c r="P1392" s="413"/>
    </row>
    <row r="1393" spans="1:16" s="418" customFormat="1" ht="15.5">
      <c r="A1393" s="126" t="s">
        <v>50</v>
      </c>
      <c r="B1393" s="126" t="s">
        <v>572</v>
      </c>
      <c r="C1393" s="420" t="s">
        <v>93</v>
      </c>
      <c r="D1393" s="421"/>
      <c r="E1393" s="416">
        <v>1</v>
      </c>
      <c r="F1393" s="421"/>
      <c r="G1393" s="421"/>
      <c r="H1393" s="410">
        <f>+Table_1[[#This Row],[Column7]]+Table_1[[#This Row],[Column6]]+Table_1[[#This Row],[Column5]]+Table_1[[#This Row],[Column4]]</f>
        <v>1</v>
      </c>
      <c r="I1393" s="274">
        <v>15000</v>
      </c>
      <c r="J1393" s="422">
        <f>'PACC GENERAL 2026'!$I1393*'PACC GENERAL 2026'!$H1393</f>
        <v>15000</v>
      </c>
      <c r="K1393" s="423"/>
      <c r="L1393" s="420"/>
      <c r="M1393" s="126"/>
      <c r="N1393" s="126"/>
      <c r="O1393" s="420" t="s">
        <v>975</v>
      </c>
      <c r="P1393" s="417"/>
    </row>
    <row r="1394" spans="1:16" s="97" customFormat="1" ht="15.5">
      <c r="A1394" s="31" t="s">
        <v>50</v>
      </c>
      <c r="B1394" s="31" t="s">
        <v>1185</v>
      </c>
      <c r="C1394" s="32" t="s">
        <v>94</v>
      </c>
      <c r="D1394" s="141"/>
      <c r="E1394" s="133">
        <v>15</v>
      </c>
      <c r="F1394" s="133"/>
      <c r="G1394" s="133"/>
      <c r="H1394" s="67">
        <f>+Table_1[[#This Row],[Column7]]+Table_1[[#This Row],[Column6]]+Table_1[[#This Row],[Column5]]+Table_1[[#This Row],[Column4]]</f>
        <v>15</v>
      </c>
      <c r="I1394" s="38">
        <v>40000</v>
      </c>
      <c r="J1394" s="34">
        <f>'PACC GENERAL 2026'!$I1394*'PACC GENERAL 2026'!$H1394</f>
        <v>600000</v>
      </c>
      <c r="K1394" s="35"/>
      <c r="L1394" s="31"/>
      <c r="M1394" s="31"/>
      <c r="N1394" s="31"/>
      <c r="O1394" s="32" t="s">
        <v>434</v>
      </c>
    </row>
    <row r="1395" spans="1:16" s="97" customFormat="1" ht="15.5">
      <c r="A1395" s="9" t="s">
        <v>50</v>
      </c>
      <c r="B1395" s="10"/>
      <c r="C1395" s="10"/>
      <c r="D1395" s="152"/>
      <c r="E1395" s="152"/>
      <c r="F1395" s="152"/>
      <c r="G1395" s="152"/>
      <c r="H1395" s="152"/>
      <c r="I1395" s="44"/>
      <c r="J1395" s="12"/>
      <c r="K1395" s="13">
        <f>SUM(J1389:J1394)</f>
        <v>4651850</v>
      </c>
      <c r="L1395" s="10"/>
      <c r="M1395" s="10"/>
      <c r="N1395" s="10"/>
      <c r="O1395" s="73"/>
      <c r="P1395" s="278"/>
    </row>
    <row r="1396" spans="1:16" ht="15.75" customHeight="1">
      <c r="A1396" s="36" t="s">
        <v>363</v>
      </c>
      <c r="B1396" s="46" t="s">
        <v>695</v>
      </c>
      <c r="C1396" s="32" t="s">
        <v>93</v>
      </c>
      <c r="D1396" s="141"/>
      <c r="E1396" s="133">
        <v>155</v>
      </c>
      <c r="F1396" s="151"/>
      <c r="G1396" s="133"/>
      <c r="H1396" s="67">
        <f>+Table_1[[#This Row],[Column7]]+Table_1[[#This Row],[Column6]]+Table_1[[#This Row],[Column5]]+Table_1[[#This Row],[Column4]]</f>
        <v>155</v>
      </c>
      <c r="I1396" s="38">
        <v>16000</v>
      </c>
      <c r="J1396" s="34">
        <f>'PACC GENERAL 2026'!$I1396*'PACC GENERAL 2026'!$H1396</f>
        <v>2480000</v>
      </c>
      <c r="K1396" s="35"/>
      <c r="L1396" s="31"/>
      <c r="M1396" s="31"/>
      <c r="N1396" s="31"/>
      <c r="O1396" s="32" t="s">
        <v>434</v>
      </c>
      <c r="P1396" s="97"/>
    </row>
    <row r="1397" spans="1:16" s="97" customFormat="1" ht="15.5">
      <c r="A1397" s="36" t="s">
        <v>363</v>
      </c>
      <c r="B1397" s="36" t="s">
        <v>696</v>
      </c>
      <c r="C1397" s="32" t="s">
        <v>93</v>
      </c>
      <c r="D1397" s="141"/>
      <c r="E1397" s="133">
        <v>30</v>
      </c>
      <c r="F1397" s="151"/>
      <c r="G1397" s="133"/>
      <c r="H1397" s="67">
        <f>+Table_1[[#This Row],[Column7]]+Table_1[[#This Row],[Column6]]+Table_1[[#This Row],[Column5]]+Table_1[[#This Row],[Column4]]</f>
        <v>30</v>
      </c>
      <c r="I1397" s="38">
        <v>20000</v>
      </c>
      <c r="J1397" s="34">
        <f>'PACC GENERAL 2026'!$I1397*'PACC GENERAL 2026'!$H1397</f>
        <v>600000</v>
      </c>
      <c r="K1397" s="35"/>
      <c r="L1397" s="31"/>
      <c r="M1397" s="31"/>
      <c r="N1397" s="31"/>
      <c r="O1397" s="32" t="s">
        <v>434</v>
      </c>
      <c r="P1397" s="320"/>
    </row>
    <row r="1398" spans="1:16" s="97" customFormat="1" ht="15.5">
      <c r="A1398" s="36" t="s">
        <v>363</v>
      </c>
      <c r="B1398" s="36" t="s">
        <v>1389</v>
      </c>
      <c r="C1398" s="32" t="s">
        <v>93</v>
      </c>
      <c r="D1398" s="141">
        <v>30</v>
      </c>
      <c r="E1398" s="133"/>
      <c r="F1398" s="151"/>
      <c r="G1398" s="133"/>
      <c r="H1398" s="67">
        <f>+Table_1[[#This Row],[Column7]]+Table_1[[#This Row],[Column6]]+Table_1[[#This Row],[Column5]]+Table_1[[#This Row],[Column4]]</f>
        <v>30</v>
      </c>
      <c r="I1398" s="38">
        <v>14000</v>
      </c>
      <c r="J1398" s="34">
        <f>'PACC GENERAL 2026'!$I1398*'PACC GENERAL 2026'!$H1398</f>
        <v>420000</v>
      </c>
      <c r="K1398" s="35"/>
      <c r="L1398" s="31"/>
      <c r="M1398" s="31"/>
      <c r="N1398" s="31"/>
      <c r="O1398" s="32" t="s">
        <v>414</v>
      </c>
      <c r="P1398" s="320"/>
    </row>
    <row r="1399" spans="1:16" s="97" customFormat="1" ht="15.5">
      <c r="A1399" s="36" t="s">
        <v>363</v>
      </c>
      <c r="B1399" s="36" t="s">
        <v>697</v>
      </c>
      <c r="C1399" s="32" t="s">
        <v>93</v>
      </c>
      <c r="D1399" s="141"/>
      <c r="E1399" s="133">
        <v>75</v>
      </c>
      <c r="F1399" s="151"/>
      <c r="G1399" s="133"/>
      <c r="H1399" s="67">
        <f>+Table_1[[#This Row],[Column7]]+Table_1[[#This Row],[Column6]]+Table_1[[#This Row],[Column5]]+Table_1[[#This Row],[Column4]]</f>
        <v>75</v>
      </c>
      <c r="I1399" s="38">
        <v>15000</v>
      </c>
      <c r="J1399" s="34">
        <f>'PACC GENERAL 2026'!$I1399*'PACC GENERAL 2026'!$H1399</f>
        <v>1125000</v>
      </c>
      <c r="K1399" s="35"/>
      <c r="L1399" s="31"/>
      <c r="M1399" s="31"/>
      <c r="N1399" s="31"/>
      <c r="O1399" s="32" t="s">
        <v>434</v>
      </c>
      <c r="P1399" s="320"/>
    </row>
    <row r="1400" spans="1:16" s="97" customFormat="1" ht="15.5">
      <c r="A1400" s="36" t="s">
        <v>363</v>
      </c>
      <c r="B1400" s="36" t="s">
        <v>519</v>
      </c>
      <c r="C1400" s="32" t="s">
        <v>93</v>
      </c>
      <c r="D1400" s="141"/>
      <c r="E1400" s="137">
        <v>52</v>
      </c>
      <c r="F1400" s="133"/>
      <c r="G1400" s="133"/>
      <c r="H1400" s="67">
        <f>+Table_1[[#This Row],[Column7]]+Table_1[[#This Row],[Column6]]+Table_1[[#This Row],[Column5]]+Table_1[[#This Row],[Column4]]</f>
        <v>52</v>
      </c>
      <c r="I1400" s="38">
        <v>15500</v>
      </c>
      <c r="J1400" s="34">
        <f>'PACC GENERAL 2026'!$I1400*'PACC GENERAL 2026'!$H1400</f>
        <v>806000</v>
      </c>
      <c r="K1400" s="35"/>
      <c r="L1400" s="126"/>
      <c r="M1400" s="126"/>
      <c r="N1400" s="126"/>
      <c r="O1400" s="32" t="s">
        <v>434</v>
      </c>
    </row>
    <row r="1401" spans="1:16" s="97" customFormat="1" ht="15.5">
      <c r="A1401" s="9" t="s">
        <v>363</v>
      </c>
      <c r="B1401" s="10"/>
      <c r="C1401" s="10"/>
      <c r="D1401" s="152"/>
      <c r="E1401" s="152"/>
      <c r="F1401" s="152"/>
      <c r="G1401" s="152"/>
      <c r="H1401" s="152"/>
      <c r="I1401" s="44"/>
      <c r="J1401" s="12"/>
      <c r="K1401" s="13">
        <f>SUM(J1396:J1400)</f>
        <v>5431000</v>
      </c>
      <c r="L1401" s="10"/>
      <c r="M1401" s="10"/>
      <c r="N1401" s="10"/>
      <c r="O1401" s="73"/>
      <c r="P1401" s="278"/>
    </row>
    <row r="1402" spans="1:16" ht="31">
      <c r="A1402" s="31" t="s">
        <v>51</v>
      </c>
      <c r="B1402" s="31" t="s">
        <v>458</v>
      </c>
      <c r="C1402" s="65" t="s">
        <v>94</v>
      </c>
      <c r="D1402" s="139"/>
      <c r="E1402" s="139"/>
      <c r="F1402" s="139">
        <v>1</v>
      </c>
      <c r="G1402" s="139"/>
      <c r="H1402" s="67">
        <f>+Table_1[[#This Row],[Column7]]+Table_1[[#This Row],[Column6]]+Table_1[[#This Row],[Column5]]+Table_1[[#This Row],[Column4]]</f>
        <v>1</v>
      </c>
      <c r="I1402" s="38">
        <v>2000000</v>
      </c>
      <c r="J1402" s="34">
        <f>'PACC GENERAL 2026'!$I1402*'PACC GENERAL 2026'!$H1402</f>
        <v>2000000</v>
      </c>
      <c r="K1402" s="35"/>
      <c r="L1402" s="31"/>
      <c r="M1402" s="31"/>
      <c r="N1402" s="31"/>
      <c r="O1402" s="32" t="s">
        <v>434</v>
      </c>
      <c r="P1402" s="97"/>
    </row>
    <row r="1403" spans="1:16" s="371" customFormat="1" ht="31">
      <c r="A1403" s="31" t="s">
        <v>51</v>
      </c>
      <c r="B1403" s="31" t="s">
        <v>1607</v>
      </c>
      <c r="C1403" s="65" t="s">
        <v>94</v>
      </c>
      <c r="D1403" s="139"/>
      <c r="E1403" s="139"/>
      <c r="F1403" s="139">
        <v>1</v>
      </c>
      <c r="G1403" s="139"/>
      <c r="H1403" s="67">
        <f>+Table_1[[#This Row],[Column7]]+Table_1[[#This Row],[Column6]]+Table_1[[#This Row],[Column5]]+Table_1[[#This Row],[Column4]]</f>
        <v>1</v>
      </c>
      <c r="I1403" s="38">
        <v>90000</v>
      </c>
      <c r="J1403" s="34">
        <f>'PACC GENERAL 2026'!$I1403*'PACC GENERAL 2026'!$H1403</f>
        <v>90000</v>
      </c>
      <c r="K1403" s="35"/>
      <c r="L1403" s="31"/>
      <c r="M1403" s="31"/>
      <c r="N1403" s="31"/>
      <c r="O1403" s="32" t="s">
        <v>434</v>
      </c>
      <c r="P1403" s="320"/>
    </row>
    <row r="1404" spans="1:16" s="371" customFormat="1" ht="31">
      <c r="A1404" s="31" t="s">
        <v>51</v>
      </c>
      <c r="B1404" s="31" t="s">
        <v>1608</v>
      </c>
      <c r="C1404" s="65" t="s">
        <v>138</v>
      </c>
      <c r="D1404" s="139"/>
      <c r="E1404" s="139"/>
      <c r="F1404" s="139">
        <v>1</v>
      </c>
      <c r="G1404" s="139"/>
      <c r="H1404" s="67">
        <f>+Table_1[[#This Row],[Column7]]+Table_1[[#This Row],[Column6]]+Table_1[[#This Row],[Column5]]+Table_1[[#This Row],[Column4]]</f>
        <v>1</v>
      </c>
      <c r="I1404" s="38">
        <v>3500000</v>
      </c>
      <c r="J1404" s="34">
        <f>'PACC GENERAL 2026'!$I1404*'PACC GENERAL 2026'!$H1404</f>
        <v>3500000</v>
      </c>
      <c r="K1404" s="35"/>
      <c r="L1404" s="31"/>
      <c r="M1404" s="31"/>
      <c r="N1404" s="31"/>
      <c r="O1404" s="32" t="s">
        <v>434</v>
      </c>
      <c r="P1404" s="320"/>
    </row>
    <row r="1405" spans="1:16" s="97" customFormat="1" ht="34.5" customHeight="1">
      <c r="A1405" s="31" t="s">
        <v>51</v>
      </c>
      <c r="B1405" s="31" t="s">
        <v>1186</v>
      </c>
      <c r="C1405" s="65" t="s">
        <v>94</v>
      </c>
      <c r="D1405" s="139"/>
      <c r="E1405" s="139">
        <v>1</v>
      </c>
      <c r="F1405" s="139"/>
      <c r="G1405" s="139"/>
      <c r="H1405" s="67">
        <f>+Table_1[[#This Row],[Column7]]+Table_1[[#This Row],[Column6]]+Table_1[[#This Row],[Column5]]+Table_1[[#This Row],[Column4]]</f>
        <v>1</v>
      </c>
      <c r="I1405" s="38">
        <v>255000</v>
      </c>
      <c r="J1405" s="34">
        <f>'PACC GENERAL 2026'!$I1405*'PACC GENERAL 2026'!$H1405</f>
        <v>255000</v>
      </c>
      <c r="K1405" s="35"/>
      <c r="L1405" s="31"/>
      <c r="M1405" s="31"/>
      <c r="N1405" s="31"/>
      <c r="O1405" s="32" t="s">
        <v>434</v>
      </c>
    </row>
    <row r="1406" spans="1:16" s="97" customFormat="1" ht="34.5" customHeight="1">
      <c r="A1406" s="31" t="s">
        <v>51</v>
      </c>
      <c r="B1406" s="31" t="s">
        <v>1187</v>
      </c>
      <c r="C1406" s="65" t="s">
        <v>94</v>
      </c>
      <c r="D1406" s="139"/>
      <c r="E1406" s="139">
        <v>1</v>
      </c>
      <c r="F1406" s="139"/>
      <c r="G1406" s="139"/>
      <c r="H1406" s="67">
        <f>+Table_1[[#This Row],[Column7]]+Table_1[[#This Row],[Column6]]+Table_1[[#This Row],[Column5]]+Table_1[[#This Row],[Column4]]</f>
        <v>1</v>
      </c>
      <c r="I1406" s="38">
        <v>790000</v>
      </c>
      <c r="J1406" s="34">
        <f>'PACC GENERAL 2026'!$I1406*'PACC GENERAL 2026'!$H1406</f>
        <v>790000</v>
      </c>
      <c r="K1406" s="35"/>
      <c r="L1406" s="36"/>
      <c r="M1406" s="36"/>
      <c r="N1406" s="36"/>
      <c r="O1406" s="32" t="s">
        <v>434</v>
      </c>
      <c r="P1406" s="287"/>
    </row>
    <row r="1407" spans="1:16" s="287" customFormat="1" ht="34.5" customHeight="1">
      <c r="A1407" s="31" t="s">
        <v>51</v>
      </c>
      <c r="B1407" s="31" t="s">
        <v>1052</v>
      </c>
      <c r="C1407" s="65" t="s">
        <v>94</v>
      </c>
      <c r="D1407" s="139">
        <v>1</v>
      </c>
      <c r="E1407" s="139"/>
      <c r="F1407" s="139"/>
      <c r="G1407" s="139"/>
      <c r="H1407" s="67">
        <f>+Table_1[[#This Row],[Column7]]+Table_1[[#This Row],[Column6]]+Table_1[[#This Row],[Column5]]+Table_1[[#This Row],[Column4]]</f>
        <v>1</v>
      </c>
      <c r="I1407" s="38">
        <v>9000000</v>
      </c>
      <c r="J1407" s="34">
        <f>'PACC GENERAL 2026'!$I1407*'PACC GENERAL 2026'!$H1407</f>
        <v>9000000</v>
      </c>
      <c r="K1407" s="35"/>
      <c r="L1407" s="31"/>
      <c r="M1407" s="31"/>
      <c r="N1407" s="31"/>
      <c r="O1407" s="32" t="s">
        <v>1039</v>
      </c>
      <c r="P1407" s="320"/>
    </row>
    <row r="1408" spans="1:16" s="97" customFormat="1" ht="34.5" customHeight="1">
      <c r="A1408" s="31" t="s">
        <v>51</v>
      </c>
      <c r="B1408" s="104" t="s">
        <v>1053</v>
      </c>
      <c r="C1408" s="65" t="s">
        <v>94</v>
      </c>
      <c r="D1408" s="139"/>
      <c r="E1408" s="139"/>
      <c r="F1408" s="139"/>
      <c r="G1408" s="139"/>
      <c r="H1408" s="67">
        <f>+Table_1[[#This Row],[Column7]]+Table_1[[#This Row],[Column6]]+Table_1[[#This Row],[Column5]]+Table_1[[#This Row],[Column4]]</f>
        <v>0</v>
      </c>
      <c r="I1408" s="38">
        <v>4500000</v>
      </c>
      <c r="J1408" s="34">
        <f>'PACC GENERAL 2026'!$I1408*'PACC GENERAL 2026'!$H1408</f>
        <v>0</v>
      </c>
      <c r="K1408" s="35"/>
      <c r="L1408" s="32"/>
      <c r="M1408" s="31"/>
      <c r="N1408" s="31"/>
      <c r="O1408" s="32" t="s">
        <v>1039</v>
      </c>
      <c r="P1408" s="320"/>
    </row>
    <row r="1409" spans="1:16" s="97" customFormat="1" ht="45" customHeight="1">
      <c r="A1409" s="36" t="s">
        <v>51</v>
      </c>
      <c r="B1409" s="36" t="s">
        <v>1054</v>
      </c>
      <c r="C1409" s="161" t="s">
        <v>94</v>
      </c>
      <c r="D1409" s="165">
        <v>1</v>
      </c>
      <c r="E1409" s="297"/>
      <c r="F1409" s="165"/>
      <c r="G1409" s="139"/>
      <c r="H1409" s="67">
        <f>+Table_1[[#This Row],[Column7]]+Table_1[[#This Row],[Column6]]+Table_1[[#This Row],[Column5]]+Table_1[[#This Row],[Column4]]</f>
        <v>1</v>
      </c>
      <c r="I1409" s="38">
        <v>4000000</v>
      </c>
      <c r="J1409" s="34">
        <f>'PACC GENERAL 2026'!$I1409*'PACC GENERAL 2026'!$H1409</f>
        <v>4000000</v>
      </c>
      <c r="K1409" s="35"/>
      <c r="L1409" s="31"/>
      <c r="M1409" s="31"/>
      <c r="N1409" s="31"/>
      <c r="O1409" s="32" t="s">
        <v>1039</v>
      </c>
    </row>
    <row r="1410" spans="1:16" s="97" customFormat="1" ht="34.5" customHeight="1">
      <c r="A1410" s="31" t="s">
        <v>51</v>
      </c>
      <c r="B1410" s="16" t="s">
        <v>1028</v>
      </c>
      <c r="C1410" s="65" t="s">
        <v>94</v>
      </c>
      <c r="D1410" s="139">
        <v>1</v>
      </c>
      <c r="E1410" s="139"/>
      <c r="F1410" s="139"/>
      <c r="G1410" s="139"/>
      <c r="H1410" s="67">
        <f>+Table_1[[#This Row],[Column7]]+Table_1[[#This Row],[Column6]]+Table_1[[#This Row],[Column5]]+Table_1[[#This Row],[Column4]]</f>
        <v>1</v>
      </c>
      <c r="I1410" s="38">
        <v>15000000</v>
      </c>
      <c r="J1410" s="34">
        <f>'PACC GENERAL 2026'!$I1410*'PACC GENERAL 2026'!$H1410</f>
        <v>15000000</v>
      </c>
      <c r="K1410" s="35"/>
      <c r="L1410" s="31"/>
      <c r="M1410" s="31"/>
      <c r="N1410" s="31"/>
      <c r="O1410" s="32" t="s">
        <v>1018</v>
      </c>
      <c r="P1410" s="320"/>
    </row>
    <row r="1411" spans="1:16" s="97" customFormat="1" ht="34.5" customHeight="1">
      <c r="A1411" s="31" t="s">
        <v>51</v>
      </c>
      <c r="B1411" s="36" t="s">
        <v>1311</v>
      </c>
      <c r="C1411" s="32" t="s">
        <v>94</v>
      </c>
      <c r="D1411" s="133"/>
      <c r="E1411" s="133">
        <v>10</v>
      </c>
      <c r="F1411" s="151"/>
      <c r="G1411" s="133"/>
      <c r="H1411" s="67">
        <f>+Table_1[[#This Row],[Column7]]+Table_1[[#This Row],[Column6]]+Table_1[[#This Row],[Column5]]+Table_1[[#This Row],[Column4]]</f>
        <v>10</v>
      </c>
      <c r="I1411" s="38">
        <v>460000</v>
      </c>
      <c r="J1411" s="34">
        <f>'PACC GENERAL 2026'!$I1411*'PACC GENERAL 2026'!$H1411</f>
        <v>4600000</v>
      </c>
      <c r="K1411" s="35"/>
      <c r="L1411" s="31"/>
      <c r="M1411" s="31"/>
      <c r="N1411" s="31"/>
      <c r="O1411" s="32" t="s">
        <v>1224</v>
      </c>
    </row>
    <row r="1412" spans="1:16" s="97" customFormat="1" ht="34.5" customHeight="1">
      <c r="A1412" s="31" t="s">
        <v>51</v>
      </c>
      <c r="B1412" s="31" t="s">
        <v>835</v>
      </c>
      <c r="C1412" s="32" t="s">
        <v>94</v>
      </c>
      <c r="D1412" s="133"/>
      <c r="E1412" s="133">
        <v>10</v>
      </c>
      <c r="F1412" s="133"/>
      <c r="G1412" s="133"/>
      <c r="H1412" s="67">
        <f>+Table_1[[#This Row],[Column7]]+Table_1[[#This Row],[Column6]]+Table_1[[#This Row],[Column5]]+Table_1[[#This Row],[Column4]]</f>
        <v>10</v>
      </c>
      <c r="I1412" s="38">
        <v>290000</v>
      </c>
      <c r="J1412" s="34">
        <f>'PACC GENERAL 2026'!$I1412*'PACC GENERAL 2026'!$H1412</f>
        <v>2900000</v>
      </c>
      <c r="K1412" s="35"/>
      <c r="L1412" s="31"/>
      <c r="M1412" s="31"/>
      <c r="N1412" s="32"/>
      <c r="O1412" s="32" t="s">
        <v>1224</v>
      </c>
    </row>
    <row r="1413" spans="1:16" s="97" customFormat="1" ht="37.5" customHeight="1">
      <c r="A1413" s="9" t="s">
        <v>51</v>
      </c>
      <c r="B1413" s="10"/>
      <c r="C1413" s="10"/>
      <c r="D1413" s="152"/>
      <c r="E1413" s="152"/>
      <c r="F1413" s="152"/>
      <c r="G1413" s="152"/>
      <c r="H1413" s="152"/>
      <c r="I1413" s="44"/>
      <c r="J1413" s="12"/>
      <c r="K1413" s="13">
        <f>SUM(J1402:J1412)</f>
        <v>42135000</v>
      </c>
      <c r="L1413" s="10"/>
      <c r="M1413" s="10"/>
      <c r="N1413" s="10"/>
      <c r="O1413" s="73"/>
      <c r="P1413" s="278"/>
    </row>
    <row r="1414" spans="1:16" ht="29.25" customHeight="1">
      <c r="A1414" s="174" t="s">
        <v>459</v>
      </c>
      <c r="B1414" s="174" t="s">
        <v>1188</v>
      </c>
      <c r="C1414" s="178" t="s">
        <v>98</v>
      </c>
      <c r="D1414" s="183"/>
      <c r="E1414" s="183">
        <v>250</v>
      </c>
      <c r="F1414" s="183"/>
      <c r="G1414" s="183"/>
      <c r="H1414" s="67">
        <f>+Table_1[[#This Row],[Column7]]+Table_1[[#This Row],[Column6]]+Table_1[[#This Row],[Column5]]+Table_1[[#This Row],[Column4]]</f>
        <v>250</v>
      </c>
      <c r="I1414" s="177">
        <v>296.06</v>
      </c>
      <c r="J1414" s="201">
        <f>'PACC GENERAL 2026'!$I1414*'PACC GENERAL 2026'!$H1414</f>
        <v>74015</v>
      </c>
      <c r="K1414" s="205"/>
      <c r="L1414" s="175"/>
      <c r="M1414" s="175"/>
      <c r="N1414" s="175"/>
      <c r="O1414" s="179" t="s">
        <v>434</v>
      </c>
      <c r="P1414" s="287"/>
    </row>
    <row r="1415" spans="1:16" s="287" customFormat="1" ht="15.75" customHeight="1">
      <c r="A1415" s="78" t="s">
        <v>459</v>
      </c>
      <c r="B1415" s="78"/>
      <c r="C1415" s="87"/>
      <c r="D1415" s="158"/>
      <c r="E1415" s="158"/>
      <c r="F1415" s="158"/>
      <c r="G1415" s="158"/>
      <c r="H1415" s="158"/>
      <c r="I1415" s="44"/>
      <c r="J1415" s="12"/>
      <c r="K1415" s="13">
        <f>SUM(J1414)</f>
        <v>74015</v>
      </c>
      <c r="L1415" s="10"/>
      <c r="M1415" s="10"/>
      <c r="N1415" s="10"/>
      <c r="O1415" s="93"/>
      <c r="P1415" s="97"/>
    </row>
    <row r="1416" spans="1:16" s="504" customFormat="1" ht="32" customHeight="1">
      <c r="A1416" s="126" t="s">
        <v>1683</v>
      </c>
      <c r="B1416" s="126" t="s">
        <v>1606</v>
      </c>
      <c r="C1416" s="420" t="s">
        <v>138</v>
      </c>
      <c r="D1416" s="421"/>
      <c r="E1416" s="502">
        <v>1</v>
      </c>
      <c r="F1416" s="501"/>
      <c r="G1416" s="501"/>
      <c r="H1416" s="410">
        <f>+Table_1[[#This Row],[Column7]]+Table_1[[#This Row],[Column6]]+Table_1[[#This Row],[Column5]]+Table_1[[#This Row],[Column4]]</f>
        <v>1</v>
      </c>
      <c r="I1416" s="274">
        <v>250000</v>
      </c>
      <c r="J1416" s="422">
        <f>'PACC GENERAL 2026'!$I1416*'PACC GENERAL 2026'!$H1416</f>
        <v>250000</v>
      </c>
      <c r="K1416" s="422"/>
      <c r="L1416" s="126"/>
      <c r="M1416" s="126"/>
      <c r="N1416" s="126"/>
      <c r="O1416" s="420"/>
      <c r="P1416" s="503"/>
    </row>
    <row r="1417" spans="1:16" s="170" customFormat="1" ht="32" customHeight="1">
      <c r="A1417" s="78" t="s">
        <v>1683</v>
      </c>
      <c r="B1417" s="78"/>
      <c r="C1417" s="87"/>
      <c r="D1417" s="158"/>
      <c r="E1417" s="158"/>
      <c r="F1417" s="158"/>
      <c r="G1417" s="158"/>
      <c r="H1417" s="158"/>
      <c r="I1417" s="44"/>
      <c r="J1417" s="12"/>
      <c r="K1417" s="13">
        <f>SUM(J1416)</f>
        <v>250000</v>
      </c>
      <c r="L1417" s="10"/>
      <c r="M1417" s="10"/>
      <c r="N1417" s="10"/>
      <c r="O1417" s="93"/>
      <c r="P1417" s="66"/>
    </row>
    <row r="1418" spans="1:16" s="97" customFormat="1" ht="15.75" customHeight="1">
      <c r="A1418" s="174" t="s">
        <v>1189</v>
      </c>
      <c r="B1418" s="174" t="s">
        <v>1190</v>
      </c>
      <c r="C1418" s="178" t="s">
        <v>94</v>
      </c>
      <c r="D1418" s="183">
        <v>1</v>
      </c>
      <c r="E1418" s="183"/>
      <c r="F1418" s="183"/>
      <c r="G1418" s="183"/>
      <c r="H1418" s="67">
        <f t="shared" ref="H1418" si="36">SUM(D1418:G1418)</f>
        <v>1</v>
      </c>
      <c r="I1418" s="177">
        <v>250000</v>
      </c>
      <c r="J1418" s="201">
        <f t="shared" ref="J1418" si="37">H1418*I1418</f>
        <v>250000</v>
      </c>
      <c r="K1418" s="205"/>
      <c r="L1418" s="175"/>
      <c r="M1418" s="175"/>
      <c r="N1418" s="175"/>
      <c r="O1418" s="179" t="s">
        <v>434</v>
      </c>
      <c r="P1418" s="287"/>
    </row>
    <row r="1419" spans="1:16" s="287" customFormat="1" ht="15.75" customHeight="1">
      <c r="A1419" s="78" t="s">
        <v>1189</v>
      </c>
      <c r="B1419" s="78"/>
      <c r="C1419" s="87"/>
      <c r="D1419" s="158"/>
      <c r="E1419" s="158"/>
      <c r="F1419" s="158"/>
      <c r="G1419" s="158"/>
      <c r="H1419" s="158"/>
      <c r="I1419" s="44"/>
      <c r="J1419" s="12"/>
      <c r="K1419" s="13">
        <f>SUM(J1418)</f>
        <v>250000</v>
      </c>
      <c r="L1419" s="10"/>
      <c r="M1419" s="10"/>
      <c r="N1419" s="10"/>
      <c r="O1419" s="93"/>
      <c r="P1419" s="97"/>
    </row>
    <row r="1420" spans="1:16" s="97" customFormat="1" ht="36" customHeight="1">
      <c r="A1420" s="31" t="s">
        <v>754</v>
      </c>
      <c r="B1420" s="31" t="s">
        <v>753</v>
      </c>
      <c r="C1420" s="65" t="s">
        <v>98</v>
      </c>
      <c r="D1420" s="139"/>
      <c r="E1420" s="139"/>
      <c r="F1420" s="139"/>
      <c r="G1420" s="139"/>
      <c r="H1420" s="67">
        <f>+Table_1[[#This Row],[Column7]]+Table_1[[#This Row],[Column6]]+Table_1[[#This Row],[Column5]]+Table_1[[#This Row],[Column4]]</f>
        <v>0</v>
      </c>
      <c r="I1420" s="38">
        <v>20300000</v>
      </c>
      <c r="J1420" s="34">
        <f>'PACC GENERAL 2026'!$I1420*'PACC GENERAL 2026'!$H1420</f>
        <v>0</v>
      </c>
      <c r="K1420" s="79"/>
      <c r="L1420" s="37"/>
      <c r="M1420" s="287"/>
      <c r="N1420" s="287"/>
      <c r="O1420" s="161"/>
      <c r="P1420" s="287"/>
    </row>
    <row r="1421" spans="1:16" s="287" customFormat="1" ht="29.25" customHeight="1">
      <c r="A1421" s="78" t="s">
        <v>754</v>
      </c>
      <c r="B1421" s="78"/>
      <c r="C1421" s="87"/>
      <c r="D1421" s="158"/>
      <c r="E1421" s="158"/>
      <c r="F1421" s="158"/>
      <c r="G1421" s="158"/>
      <c r="H1421" s="87"/>
      <c r="I1421" s="44"/>
      <c r="J1421" s="12"/>
      <c r="K1421" s="13">
        <f>SUM(J1420)</f>
        <v>0</v>
      </c>
      <c r="L1421" s="10"/>
      <c r="M1421" s="10"/>
      <c r="N1421" s="10"/>
      <c r="O1421" s="93"/>
      <c r="P1421" s="97"/>
    </row>
    <row r="1422" spans="1:16" s="97" customFormat="1" ht="15.75" customHeight="1">
      <c r="A1422" s="31" t="s">
        <v>52</v>
      </c>
      <c r="B1422" s="31" t="s">
        <v>340</v>
      </c>
      <c r="C1422" s="32" t="s">
        <v>341</v>
      </c>
      <c r="D1422" s="133"/>
      <c r="E1422" s="133"/>
      <c r="F1422" s="133"/>
      <c r="G1422" s="133"/>
      <c r="H1422" s="67">
        <f>+Table_1[[#This Row],[Column7]]+Table_1[[#This Row],[Column6]]+Table_1[[#This Row],[Column5]]+Table_1[[#This Row],[Column4]]</f>
        <v>0</v>
      </c>
      <c r="I1422" s="38">
        <v>240</v>
      </c>
      <c r="J1422" s="34">
        <f>'PACC GENERAL 2026'!$I1422*'PACC GENERAL 2026'!$H1422</f>
        <v>0</v>
      </c>
      <c r="K1422" s="35"/>
      <c r="L1422" s="31"/>
      <c r="M1422" s="31"/>
      <c r="N1422" s="32"/>
      <c r="O1422" s="32"/>
    </row>
    <row r="1423" spans="1:16" s="97" customFormat="1" ht="15.75" customHeight="1">
      <c r="A1423" s="31" t="s">
        <v>52</v>
      </c>
      <c r="B1423" s="31" t="s">
        <v>342</v>
      </c>
      <c r="C1423" s="32" t="s">
        <v>94</v>
      </c>
      <c r="D1423" s="133"/>
      <c r="E1423" s="133"/>
      <c r="F1423" s="133"/>
      <c r="G1423" s="133"/>
      <c r="H1423" s="67">
        <f>+Table_1[[#This Row],[Column7]]+Table_1[[#This Row],[Column6]]+Table_1[[#This Row],[Column5]]+Table_1[[#This Row],[Column4]]</f>
        <v>0</v>
      </c>
      <c r="I1423" s="38">
        <v>50000</v>
      </c>
      <c r="J1423" s="34">
        <f>'PACC GENERAL 2026'!$I1423*'PACC GENERAL 2026'!$H1423</f>
        <v>0</v>
      </c>
      <c r="K1423" s="35"/>
      <c r="L1423" s="31"/>
      <c r="M1423" s="31"/>
      <c r="N1423" s="32"/>
      <c r="O1423" s="32"/>
    </row>
    <row r="1424" spans="1:16" s="97" customFormat="1" ht="15.75" customHeight="1">
      <c r="A1424" s="9" t="s">
        <v>52</v>
      </c>
      <c r="B1424" s="10"/>
      <c r="C1424" s="10"/>
      <c r="D1424" s="152"/>
      <c r="E1424" s="152"/>
      <c r="F1424" s="152"/>
      <c r="G1424" s="152"/>
      <c r="H1424" s="111"/>
      <c r="I1424" s="44"/>
      <c r="J1424" s="12"/>
      <c r="K1424" s="13">
        <f>SUM(J1422:J1423)</f>
        <v>0</v>
      </c>
      <c r="L1424" s="10"/>
      <c r="M1424" s="10"/>
      <c r="N1424" s="10"/>
      <c r="O1424" s="73"/>
      <c r="P1424" s="278"/>
    </row>
    <row r="1425" spans="1:16" ht="15.75" customHeight="1">
      <c r="A1425" s="31" t="s">
        <v>53</v>
      </c>
      <c r="B1425" s="31" t="s">
        <v>343</v>
      </c>
      <c r="C1425" s="32" t="s">
        <v>344</v>
      </c>
      <c r="D1425" s="140"/>
      <c r="E1425" s="137">
        <v>615</v>
      </c>
      <c r="F1425" s="133"/>
      <c r="G1425" s="140"/>
      <c r="H1425" s="67">
        <f>+Table_1[[#This Row],[Column7]]+Table_1[[#This Row],[Column6]]+Table_1[[#This Row],[Column5]]+Table_1[[#This Row],[Column4]]</f>
        <v>615</v>
      </c>
      <c r="I1425" s="38">
        <v>3451.5</v>
      </c>
      <c r="J1425" s="34">
        <f>'PACC GENERAL 2026'!$I1425*'PACC GENERAL 2026'!$H1425</f>
        <v>2122672.5</v>
      </c>
      <c r="K1425" s="35"/>
      <c r="L1425" s="31"/>
      <c r="M1425" s="31"/>
      <c r="N1425" s="65"/>
      <c r="O1425" s="32" t="s">
        <v>1301</v>
      </c>
      <c r="P1425" s="97"/>
    </row>
    <row r="1426" spans="1:16" s="97" customFormat="1" ht="15.75" customHeight="1">
      <c r="A1426" s="31" t="s">
        <v>53</v>
      </c>
      <c r="B1426" s="31" t="s">
        <v>345</v>
      </c>
      <c r="C1426" s="32" t="s">
        <v>344</v>
      </c>
      <c r="D1426" s="140"/>
      <c r="E1426" s="137">
        <v>500</v>
      </c>
      <c r="F1426" s="133"/>
      <c r="G1426" s="140"/>
      <c r="H1426" s="67">
        <f>+Table_1[[#This Row],[Column7]]+Table_1[[#This Row],[Column6]]+Table_1[[#This Row],[Column5]]+Table_1[[#This Row],[Column4]]</f>
        <v>500</v>
      </c>
      <c r="I1426" s="38">
        <v>4800</v>
      </c>
      <c r="J1426" s="34">
        <f>'PACC GENERAL 2026'!$I1426*'PACC GENERAL 2026'!$H1426</f>
        <v>2400000</v>
      </c>
      <c r="K1426" s="35"/>
      <c r="L1426" s="31"/>
      <c r="M1426" s="31"/>
      <c r="N1426" s="32"/>
      <c r="O1426" s="32" t="s">
        <v>1301</v>
      </c>
    </row>
    <row r="1427" spans="1:16" s="97" customFormat="1" ht="15.75" customHeight="1">
      <c r="A1427" s="31" t="s">
        <v>53</v>
      </c>
      <c r="B1427" s="31" t="s">
        <v>387</v>
      </c>
      <c r="C1427" s="32" t="s">
        <v>94</v>
      </c>
      <c r="D1427" s="133">
        <v>1</v>
      </c>
      <c r="E1427" s="133"/>
      <c r="F1427" s="133"/>
      <c r="G1427" s="133"/>
      <c r="H1427" s="67">
        <f>+Table_1[[#This Row],[Column7]]+Table_1[[#This Row],[Column6]]+Table_1[[#This Row],[Column5]]+Table_1[[#This Row],[Column4]]</f>
        <v>1</v>
      </c>
      <c r="I1427" s="38">
        <v>4000000</v>
      </c>
      <c r="J1427" s="34">
        <f>'PACC GENERAL 2026'!$I1427*'PACC GENERAL 2026'!$H1427</f>
        <v>4000000</v>
      </c>
      <c r="K1427" s="35"/>
      <c r="L1427" s="31"/>
      <c r="M1427" s="31"/>
      <c r="N1427" s="32"/>
      <c r="O1427" s="32" t="s">
        <v>434</v>
      </c>
    </row>
    <row r="1428" spans="1:16" s="97" customFormat="1" ht="15.75" customHeight="1">
      <c r="A1428" s="31" t="s">
        <v>53</v>
      </c>
      <c r="B1428" s="31" t="s">
        <v>1609</v>
      </c>
      <c r="C1428" s="32" t="s">
        <v>94</v>
      </c>
      <c r="D1428" s="133"/>
      <c r="E1428" s="133"/>
      <c r="F1428" s="133">
        <v>1</v>
      </c>
      <c r="G1428" s="133"/>
      <c r="H1428" s="67">
        <f>+Table_1[[#This Row],[Column7]]+Table_1[[#This Row],[Column6]]+Table_1[[#This Row],[Column5]]+Table_1[[#This Row],[Column4]]</f>
        <v>1</v>
      </c>
      <c r="I1428" s="38">
        <v>35400000</v>
      </c>
      <c r="J1428" s="34">
        <f>'PACC GENERAL 2026'!$I1428*'PACC GENERAL 2026'!$H1428</f>
        <v>35400000</v>
      </c>
      <c r="K1428" s="35"/>
      <c r="L1428" s="31"/>
      <c r="M1428" s="31"/>
      <c r="N1428" s="32"/>
      <c r="O1428" s="32" t="s">
        <v>434</v>
      </c>
      <c r="P1428" s="320"/>
    </row>
    <row r="1429" spans="1:16" s="97" customFormat="1" ht="15.75" customHeight="1">
      <c r="A1429" s="9" t="s">
        <v>346</v>
      </c>
      <c r="B1429" s="10"/>
      <c r="C1429" s="10"/>
      <c r="D1429" s="152"/>
      <c r="E1429" s="152"/>
      <c r="F1429" s="152"/>
      <c r="G1429" s="152"/>
      <c r="H1429" s="109"/>
      <c r="I1429" s="44"/>
      <c r="J1429" s="12"/>
      <c r="K1429" s="13">
        <f>SUM(J1425:J1428)</f>
        <v>43922672.5</v>
      </c>
      <c r="L1429" s="10"/>
      <c r="M1429" s="10"/>
      <c r="N1429" s="10"/>
      <c r="O1429" s="73"/>
      <c r="P1429" s="278"/>
    </row>
    <row r="1430" spans="1:16" ht="15.75" customHeight="1">
      <c r="A1430" s="48" t="s">
        <v>54</v>
      </c>
      <c r="B1430" s="48" t="s">
        <v>1610</v>
      </c>
      <c r="C1430" s="88" t="s">
        <v>94</v>
      </c>
      <c r="D1430" s="147">
        <v>1</v>
      </c>
      <c r="E1430" s="147"/>
      <c r="F1430" s="147"/>
      <c r="G1430" s="147"/>
      <c r="H1430" s="67">
        <f>+Table_1[[#This Row],[Column7]]+Table_1[[#This Row],[Column6]]+Table_1[[#This Row],[Column5]]+Table_1[[#This Row],[Column4]]</f>
        <v>1</v>
      </c>
      <c r="I1430" s="77">
        <v>10000000</v>
      </c>
      <c r="J1430" s="34">
        <f>H1430*I1430</f>
        <v>10000000</v>
      </c>
      <c r="K1430" s="166"/>
      <c r="L1430" s="86"/>
      <c r="M1430" s="86"/>
      <c r="N1430" s="86"/>
      <c r="O1430" s="32"/>
      <c r="P1430" s="97"/>
    </row>
    <row r="1431" spans="1:16" s="371" customFormat="1" ht="15.75" customHeight="1">
      <c r="A1431" s="48" t="s">
        <v>54</v>
      </c>
      <c r="B1431" s="48" t="s">
        <v>1611</v>
      </c>
      <c r="C1431" s="88" t="s">
        <v>94</v>
      </c>
      <c r="D1431" s="147">
        <v>1</v>
      </c>
      <c r="E1431" s="147"/>
      <c r="F1431" s="147"/>
      <c r="G1431" s="147"/>
      <c r="H1431" s="67">
        <f>+Table_1[[#This Row],[Column7]]+Table_1[[#This Row],[Column6]]+Table_1[[#This Row],[Column5]]+Table_1[[#This Row],[Column4]]</f>
        <v>1</v>
      </c>
      <c r="I1431" s="77">
        <v>8000000</v>
      </c>
      <c r="J1431" s="34">
        <f t="shared" ref="J1431:J1433" si="38">H1431*I1431</f>
        <v>8000000</v>
      </c>
      <c r="K1431" s="166"/>
      <c r="L1431" s="86"/>
      <c r="M1431" s="86"/>
      <c r="N1431" s="86"/>
      <c r="O1431" s="32"/>
      <c r="P1431" s="320"/>
    </row>
    <row r="1432" spans="1:16" s="371" customFormat="1" ht="15.75" customHeight="1">
      <c r="A1432" s="48" t="s">
        <v>54</v>
      </c>
      <c r="B1432" s="48" t="s">
        <v>1612</v>
      </c>
      <c r="C1432" s="88" t="s">
        <v>94</v>
      </c>
      <c r="D1432" s="147">
        <v>1</v>
      </c>
      <c r="E1432" s="147"/>
      <c r="F1432" s="147"/>
      <c r="G1432" s="147"/>
      <c r="H1432" s="67">
        <f>+Table_1[[#This Row],[Column7]]+Table_1[[#This Row],[Column6]]+Table_1[[#This Row],[Column5]]+Table_1[[#This Row],[Column4]]</f>
        <v>1</v>
      </c>
      <c r="I1432" s="77">
        <v>18000000</v>
      </c>
      <c r="J1432" s="34">
        <f t="shared" si="38"/>
        <v>18000000</v>
      </c>
      <c r="K1432" s="166"/>
      <c r="L1432" s="86"/>
      <c r="M1432" s="86"/>
      <c r="N1432" s="86"/>
      <c r="O1432" s="32"/>
      <c r="P1432" s="320"/>
    </row>
    <row r="1433" spans="1:16" s="97" customFormat="1" ht="15.75" customHeight="1">
      <c r="A1433" s="31" t="s">
        <v>54</v>
      </c>
      <c r="B1433" s="31" t="s">
        <v>1613</v>
      </c>
      <c r="C1433" s="32" t="s">
        <v>94</v>
      </c>
      <c r="D1433" s="133">
        <v>1</v>
      </c>
      <c r="E1433" s="133"/>
      <c r="F1433" s="133"/>
      <c r="G1433" s="133"/>
      <c r="H1433" s="67">
        <f>+Table_1[[#This Row],[Column7]]+Table_1[[#This Row],[Column6]]+Table_1[[#This Row],[Column5]]+Table_1[[#This Row],[Column4]]</f>
        <v>1</v>
      </c>
      <c r="I1433" s="38">
        <v>5000000</v>
      </c>
      <c r="J1433" s="34">
        <f t="shared" si="38"/>
        <v>5000000</v>
      </c>
      <c r="K1433" s="35"/>
      <c r="L1433" s="31"/>
      <c r="M1433" s="31"/>
      <c r="N1433" s="32"/>
      <c r="O1433" s="32"/>
    </row>
    <row r="1434" spans="1:16" s="97" customFormat="1" ht="15.75" customHeight="1">
      <c r="A1434" s="9" t="s">
        <v>54</v>
      </c>
      <c r="B1434" s="10"/>
      <c r="C1434" s="10"/>
      <c r="D1434" s="152"/>
      <c r="E1434" s="152"/>
      <c r="F1434" s="152"/>
      <c r="G1434" s="152"/>
      <c r="H1434" s="152"/>
      <c r="I1434" s="44"/>
      <c r="J1434" s="12"/>
      <c r="K1434" s="13">
        <f>SUM(J1430:J1433)</f>
        <v>41000000</v>
      </c>
      <c r="L1434" s="10"/>
      <c r="M1434" s="10"/>
      <c r="N1434" s="10"/>
      <c r="O1434" s="73"/>
      <c r="P1434" s="278"/>
    </row>
    <row r="1435" spans="1:16" s="97" customFormat="1" ht="39" customHeight="1">
      <c r="A1435" s="31" t="s">
        <v>55</v>
      </c>
      <c r="B1435" s="31" t="s">
        <v>689</v>
      </c>
      <c r="C1435" s="32" t="s">
        <v>94</v>
      </c>
      <c r="D1435" s="133">
        <v>2</v>
      </c>
      <c r="E1435" s="137"/>
      <c r="F1435" s="133"/>
      <c r="G1435" s="133"/>
      <c r="H1435" s="67">
        <f>+Table_1[[#This Row],[Column7]]+Table_1[[#This Row],[Column6]]+Table_1[[#This Row],[Column5]]+Table_1[[#This Row],[Column4]]</f>
        <v>2</v>
      </c>
      <c r="I1435" s="38">
        <v>600000</v>
      </c>
      <c r="J1435" s="34">
        <f>'PACC GENERAL 2026'!$I1435*'PACC GENERAL 2026'!$H1435</f>
        <v>1200000</v>
      </c>
      <c r="K1435" s="35"/>
      <c r="L1435" s="31"/>
      <c r="M1435" s="31"/>
      <c r="N1435" s="32"/>
      <c r="O1435" s="32" t="s">
        <v>1656</v>
      </c>
      <c r="P1435" s="320"/>
    </row>
    <row r="1436" spans="1:16" s="97" customFormat="1" ht="29.25" customHeight="1">
      <c r="A1436" s="31" t="s">
        <v>55</v>
      </c>
      <c r="B1436" s="31" t="s">
        <v>690</v>
      </c>
      <c r="C1436" s="32" t="s">
        <v>94</v>
      </c>
      <c r="D1436" s="133">
        <v>1</v>
      </c>
      <c r="E1436" s="137"/>
      <c r="F1436" s="133"/>
      <c r="G1436" s="133"/>
      <c r="H1436" s="67">
        <f>+Table_1[[#This Row],[Column7]]+Table_1[[#This Row],[Column6]]+Table_1[[#This Row],[Column5]]+Table_1[[#This Row],[Column4]]</f>
        <v>1</v>
      </c>
      <c r="I1436" s="38">
        <v>1500000</v>
      </c>
      <c r="J1436" s="34">
        <f>'PACC GENERAL 2026'!$I1436*'PACC GENERAL 2026'!$H1436</f>
        <v>1500000</v>
      </c>
      <c r="K1436" s="35"/>
      <c r="L1436" s="31"/>
      <c r="M1436" s="31"/>
      <c r="N1436" s="32"/>
      <c r="O1436" s="32" t="s">
        <v>1656</v>
      </c>
      <c r="P1436" s="320"/>
    </row>
    <row r="1437" spans="1:16" s="97" customFormat="1" ht="36" customHeight="1">
      <c r="A1437" s="31" t="s">
        <v>55</v>
      </c>
      <c r="B1437" s="31" t="s">
        <v>1501</v>
      </c>
      <c r="C1437" s="32" t="s">
        <v>94</v>
      </c>
      <c r="D1437" s="378">
        <v>1</v>
      </c>
      <c r="E1437" s="100"/>
      <c r="F1437" s="133"/>
      <c r="G1437" s="67"/>
      <c r="H1437" s="67">
        <v>1</v>
      </c>
      <c r="I1437" s="77">
        <v>1800000</v>
      </c>
      <c r="J1437" s="34">
        <v>1800000</v>
      </c>
      <c r="K1437" s="35"/>
      <c r="L1437" s="32"/>
      <c r="M1437" s="375"/>
      <c r="N1437" s="18"/>
      <c r="O1437" s="382" t="s">
        <v>404</v>
      </c>
      <c r="P1437" s="18"/>
    </row>
    <row r="1438" spans="1:16" s="97" customFormat="1" ht="36" customHeight="1">
      <c r="A1438" s="31" t="s">
        <v>55</v>
      </c>
      <c r="B1438" s="31" t="s">
        <v>1502</v>
      </c>
      <c r="C1438" s="32" t="s">
        <v>94</v>
      </c>
      <c r="D1438" s="378">
        <v>1</v>
      </c>
      <c r="E1438" s="100"/>
      <c r="F1438" s="133"/>
      <c r="G1438" s="67"/>
      <c r="H1438" s="67">
        <v>1</v>
      </c>
      <c r="I1438" s="77">
        <v>1800000</v>
      </c>
      <c r="J1438" s="34">
        <v>1800000</v>
      </c>
      <c r="K1438" s="35"/>
      <c r="L1438" s="32"/>
      <c r="M1438" s="375"/>
      <c r="N1438" s="18"/>
      <c r="O1438" s="382" t="s">
        <v>404</v>
      </c>
      <c r="P1438" s="18"/>
    </row>
    <row r="1439" spans="1:16" s="97" customFormat="1" ht="30.65" customHeight="1">
      <c r="A1439" s="31" t="s">
        <v>55</v>
      </c>
      <c r="B1439" s="31" t="s">
        <v>998</v>
      </c>
      <c r="C1439" s="32" t="s">
        <v>138</v>
      </c>
      <c r="D1439" s="133"/>
      <c r="E1439" s="137">
        <v>1</v>
      </c>
      <c r="F1439" s="133"/>
      <c r="G1439" s="133"/>
      <c r="H1439" s="67">
        <f t="shared" ref="H1439" si="39">SUM(D1439:G1439)</f>
        <v>1</v>
      </c>
      <c r="I1439" s="38">
        <v>600000</v>
      </c>
      <c r="J1439" s="34">
        <f t="shared" ref="J1439" si="40">I1439*H1439</f>
        <v>600000</v>
      </c>
      <c r="K1439" s="35"/>
      <c r="L1439" s="31"/>
      <c r="M1439" s="31"/>
      <c r="N1439" s="32"/>
      <c r="O1439" s="32" t="s">
        <v>414</v>
      </c>
      <c r="P1439" s="320"/>
    </row>
    <row r="1440" spans="1:16" s="97" customFormat="1" ht="20.5" customHeight="1">
      <c r="A1440" s="31" t="s">
        <v>55</v>
      </c>
      <c r="B1440" s="31" t="s">
        <v>1470</v>
      </c>
      <c r="C1440" s="32" t="s">
        <v>138</v>
      </c>
      <c r="D1440" s="133"/>
      <c r="E1440" s="137">
        <v>1</v>
      </c>
      <c r="F1440" s="133"/>
      <c r="G1440" s="133"/>
      <c r="H1440" s="67">
        <f t="shared" ref="H1440" si="41">SUM(D1440:G1440)</f>
        <v>1</v>
      </c>
      <c r="I1440" s="38">
        <v>250000</v>
      </c>
      <c r="J1440" s="34">
        <f t="shared" ref="J1440" si="42">I1440*H1440</f>
        <v>250000</v>
      </c>
      <c r="K1440" s="35"/>
      <c r="L1440" s="31"/>
      <c r="M1440" s="31"/>
      <c r="N1440" s="32"/>
      <c r="O1440" s="32" t="s">
        <v>414</v>
      </c>
      <c r="P1440" s="320"/>
    </row>
    <row r="1441" spans="1:16" s="97" customFormat="1" ht="22" customHeight="1">
      <c r="A1441" s="31" t="s">
        <v>55</v>
      </c>
      <c r="B1441" s="31" t="s">
        <v>999</v>
      </c>
      <c r="C1441" s="32" t="s">
        <v>138</v>
      </c>
      <c r="D1441" s="133"/>
      <c r="E1441" s="137">
        <v>1</v>
      </c>
      <c r="F1441" s="133"/>
      <c r="G1441" s="133"/>
      <c r="H1441" s="67">
        <f t="shared" ref="H1441" si="43">SUM(D1441:G1441)</f>
        <v>1</v>
      </c>
      <c r="I1441" s="38">
        <v>1000000</v>
      </c>
      <c r="J1441" s="34">
        <f t="shared" ref="J1441" si="44">I1441*H1441</f>
        <v>1000000</v>
      </c>
      <c r="K1441" s="35"/>
      <c r="L1441" s="31"/>
      <c r="M1441" s="31"/>
      <c r="N1441" s="32"/>
      <c r="O1441" s="32" t="s">
        <v>414</v>
      </c>
      <c r="P1441" s="320"/>
    </row>
    <row r="1442" spans="1:16" s="97" customFormat="1" ht="38.15" customHeight="1">
      <c r="A1442" s="31" t="s">
        <v>55</v>
      </c>
      <c r="B1442" s="31" t="s">
        <v>652</v>
      </c>
      <c r="C1442" s="32" t="s">
        <v>94</v>
      </c>
      <c r="D1442" s="133"/>
      <c r="E1442" s="137"/>
      <c r="F1442" s="133"/>
      <c r="G1442" s="133"/>
      <c r="H1442" s="67">
        <f>+Table_1[[#This Row],[Column7]]+Table_1[[#This Row],[Column6]]+Table_1[[#This Row],[Column5]]+Table_1[[#This Row],[Column4]]</f>
        <v>0</v>
      </c>
      <c r="I1442" s="38">
        <f>2006000*63</f>
        <v>126378000</v>
      </c>
      <c r="J1442" s="34">
        <f>'PACC GENERAL 2026'!$I1442*'PACC GENERAL 2026'!$H1442</f>
        <v>0</v>
      </c>
      <c r="K1442" s="35"/>
      <c r="L1442" s="31"/>
      <c r="M1442" s="31"/>
      <c r="N1442" s="32"/>
      <c r="O1442" s="32"/>
      <c r="P1442" s="320"/>
    </row>
    <row r="1443" spans="1:16" s="97" customFormat="1" ht="15.5">
      <c r="A1443" s="9" t="s">
        <v>347</v>
      </c>
      <c r="B1443" s="10" t="s">
        <v>117</v>
      </c>
      <c r="C1443" s="10"/>
      <c r="D1443" s="152"/>
      <c r="E1443" s="152"/>
      <c r="F1443" s="152"/>
      <c r="G1443" s="152"/>
      <c r="H1443" s="152"/>
      <c r="I1443" s="44"/>
      <c r="J1443" s="12"/>
      <c r="K1443" s="13">
        <f>SUM(J1435:J1442)</f>
        <v>8150000</v>
      </c>
      <c r="L1443" s="10"/>
      <c r="M1443" s="10"/>
      <c r="N1443" s="10"/>
      <c r="O1443" s="73"/>
      <c r="P1443" s="278"/>
    </row>
    <row r="1444" spans="1:16" ht="34.5" customHeight="1">
      <c r="A1444" s="31" t="s">
        <v>56</v>
      </c>
      <c r="B1444" s="31" t="s">
        <v>431</v>
      </c>
      <c r="C1444" s="65" t="s">
        <v>94</v>
      </c>
      <c r="D1444" s="140"/>
      <c r="E1444" s="140"/>
      <c r="F1444" s="140"/>
      <c r="G1444" s="140"/>
      <c r="H1444" s="67">
        <f>+Table_1[[#This Row],[Column7]]+Table_1[[#This Row],[Column6]]+Table_1[[#This Row],[Column5]]+Table_1[[#This Row],[Column4]]</f>
        <v>0</v>
      </c>
      <c r="I1444" s="38">
        <f>959630.28+55816.95</f>
        <v>1015447.23</v>
      </c>
      <c r="J1444" s="34">
        <f>'PACC GENERAL 2026'!$I1444*'PACC GENERAL 2026'!$H1444</f>
        <v>0</v>
      </c>
      <c r="K1444" s="89"/>
      <c r="L1444" s="31"/>
      <c r="M1444" s="31"/>
      <c r="N1444" s="32"/>
      <c r="O1444" s="32"/>
      <c r="P1444" s="97"/>
    </row>
    <row r="1445" spans="1:16" s="97" customFormat="1" ht="15.75" customHeight="1">
      <c r="A1445" s="9" t="s">
        <v>56</v>
      </c>
      <c r="B1445" s="10"/>
      <c r="C1445" s="10"/>
      <c r="D1445" s="152"/>
      <c r="E1445" s="152"/>
      <c r="F1445" s="152"/>
      <c r="G1445" s="152"/>
      <c r="H1445" s="109"/>
      <c r="I1445" s="44"/>
      <c r="J1445" s="12"/>
      <c r="K1445" s="13">
        <f>SUM(J1444:J1444)</f>
        <v>0</v>
      </c>
      <c r="L1445" s="10"/>
      <c r="M1445" s="10"/>
      <c r="N1445" s="10"/>
      <c r="O1445" s="74"/>
      <c r="P1445" s="278"/>
    </row>
    <row r="1446" spans="1:16" ht="15.5">
      <c r="A1446" s="31" t="s">
        <v>487</v>
      </c>
      <c r="B1446" s="31" t="s">
        <v>1614</v>
      </c>
      <c r="C1446" s="65" t="s">
        <v>94</v>
      </c>
      <c r="D1446" s="140"/>
      <c r="E1446" s="140"/>
      <c r="F1446" s="137">
        <v>1</v>
      </c>
      <c r="G1446" s="140"/>
      <c r="H1446" s="67">
        <f>+Table_1[[#This Row],[Column7]]+Table_1[[#This Row],[Column6]]+Table_1[[#This Row],[Column5]]+Table_1[[#This Row],[Column4]]</f>
        <v>1</v>
      </c>
      <c r="I1446" s="38">
        <v>889600</v>
      </c>
      <c r="J1446" s="34">
        <f>'PACC GENERAL 2026'!$I1446*'PACC GENERAL 2026'!$H1446</f>
        <v>889600</v>
      </c>
      <c r="K1446" s="89"/>
      <c r="L1446" s="31"/>
      <c r="M1446" s="31"/>
      <c r="N1446" s="31"/>
      <c r="O1446" s="32" t="s">
        <v>434</v>
      </c>
      <c r="P1446" s="97"/>
    </row>
    <row r="1447" spans="1:16" s="97" customFormat="1" ht="15.75" customHeight="1">
      <c r="A1447" s="31" t="s">
        <v>487</v>
      </c>
      <c r="B1447" s="31" t="s">
        <v>461</v>
      </c>
      <c r="C1447" s="65" t="s">
        <v>94</v>
      </c>
      <c r="D1447" s="181"/>
      <c r="E1447" s="181"/>
      <c r="F1447" s="194">
        <v>1</v>
      </c>
      <c r="G1447" s="140"/>
      <c r="H1447" s="67">
        <f>+Table_1[[#This Row],[Column7]]+Table_1[[#This Row],[Column6]]+Table_1[[#This Row],[Column5]]+Table_1[[#This Row],[Column4]]</f>
        <v>1</v>
      </c>
      <c r="I1447" s="38">
        <v>678508.47</v>
      </c>
      <c r="J1447" s="34">
        <f>'PACC GENERAL 2026'!$I1447*'PACC GENERAL 2026'!$H1447</f>
        <v>678508.47</v>
      </c>
      <c r="K1447" s="89"/>
      <c r="L1447" s="31"/>
      <c r="M1447" s="31"/>
      <c r="N1447" s="31"/>
      <c r="O1447" s="32" t="s">
        <v>434</v>
      </c>
      <c r="P1447" s="320"/>
    </row>
    <row r="1448" spans="1:16" s="97" customFormat="1" ht="15.75" customHeight="1">
      <c r="A1448" s="31" t="s">
        <v>487</v>
      </c>
      <c r="B1448" s="31" t="s">
        <v>462</v>
      </c>
      <c r="C1448" s="65" t="s">
        <v>94</v>
      </c>
      <c r="D1448" s="140">
        <v>1</v>
      </c>
      <c r="E1448" s="137"/>
      <c r="F1448" s="397"/>
      <c r="G1448" s="140"/>
      <c r="H1448" s="67">
        <f>+Table_1[[#This Row],[Column7]]+Table_1[[#This Row],[Column6]]+Table_1[[#This Row],[Column5]]+Table_1[[#This Row],[Column4]]</f>
        <v>1</v>
      </c>
      <c r="I1448" s="38">
        <v>495600</v>
      </c>
      <c r="J1448" s="34">
        <f>'PACC GENERAL 2026'!$I1448*'PACC GENERAL 2026'!$H1448</f>
        <v>495600</v>
      </c>
      <c r="K1448" s="89"/>
      <c r="L1448" s="31"/>
      <c r="M1448" s="31"/>
      <c r="N1448" s="32"/>
      <c r="O1448" s="32" t="s">
        <v>434</v>
      </c>
    </row>
    <row r="1449" spans="1:16" s="97" customFormat="1" ht="15.75" customHeight="1">
      <c r="A1449" s="31" t="s">
        <v>487</v>
      </c>
      <c r="B1449" s="31" t="s">
        <v>463</v>
      </c>
      <c r="C1449" s="65" t="s">
        <v>94</v>
      </c>
      <c r="D1449" s="137">
        <v>1</v>
      </c>
      <c r="E1449" s="397"/>
      <c r="F1449" s="140"/>
      <c r="G1449" s="140"/>
      <c r="H1449" s="67">
        <f>+Table_1[[#This Row],[Column7]]+Table_1[[#This Row],[Column6]]+Table_1[[#This Row],[Column5]]+Table_1[[#This Row],[Column4]]</f>
        <v>1</v>
      </c>
      <c r="I1449" s="38">
        <v>1017762.71</v>
      </c>
      <c r="J1449" s="34">
        <f>'PACC GENERAL 2026'!$I1449*'PACC GENERAL 2026'!$H1449</f>
        <v>1017762.71</v>
      </c>
      <c r="K1449" s="89"/>
      <c r="L1449" s="31"/>
      <c r="M1449" s="31"/>
      <c r="N1449" s="31"/>
      <c r="O1449" s="32" t="s">
        <v>434</v>
      </c>
    </row>
    <row r="1450" spans="1:16" s="97" customFormat="1" ht="15.75" customHeight="1">
      <c r="A1450" s="31" t="s">
        <v>487</v>
      </c>
      <c r="B1450" s="31" t="s">
        <v>1615</v>
      </c>
      <c r="C1450" s="65" t="s">
        <v>94</v>
      </c>
      <c r="D1450" s="140"/>
      <c r="E1450" s="137"/>
      <c r="F1450" s="140">
        <v>1</v>
      </c>
      <c r="G1450" s="140"/>
      <c r="H1450" s="67">
        <f>+Table_1[[#This Row],[Column7]]+Table_1[[#This Row],[Column6]]+Table_1[[#This Row],[Column5]]+Table_1[[#This Row],[Column4]]</f>
        <v>1</v>
      </c>
      <c r="I1450" s="38">
        <v>1130847.46</v>
      </c>
      <c r="J1450" s="34">
        <f>'PACC GENERAL 2026'!$I1450*'PACC GENERAL 2026'!$H1450</f>
        <v>1130847.46</v>
      </c>
      <c r="K1450" s="89"/>
      <c r="L1450" s="31"/>
      <c r="M1450" s="31"/>
      <c r="N1450" s="31"/>
      <c r="O1450" s="32" t="s">
        <v>434</v>
      </c>
      <c r="P1450" s="320"/>
    </row>
    <row r="1451" spans="1:16" s="97" customFormat="1" ht="15.75" customHeight="1">
      <c r="A1451" s="31" t="s">
        <v>487</v>
      </c>
      <c r="B1451" s="31" t="s">
        <v>464</v>
      </c>
      <c r="C1451" s="65" t="s">
        <v>94</v>
      </c>
      <c r="D1451" s="181"/>
      <c r="E1451" s="194">
        <v>1</v>
      </c>
      <c r="F1451" s="181"/>
      <c r="G1451" s="140"/>
      <c r="H1451" s="67">
        <f>+Table_1[[#This Row],[Column7]]+Table_1[[#This Row],[Column6]]+Table_1[[#This Row],[Column5]]+Table_1[[#This Row],[Column4]]</f>
        <v>1</v>
      </c>
      <c r="I1451" s="38">
        <v>753898.31</v>
      </c>
      <c r="J1451" s="34">
        <f>'PACC GENERAL 2026'!$I1451*'PACC GENERAL 2026'!$H1451</f>
        <v>753898.31</v>
      </c>
      <c r="K1451" s="89"/>
      <c r="L1451" s="31"/>
      <c r="M1451" s="31"/>
      <c r="N1451" s="31"/>
      <c r="O1451" s="32" t="s">
        <v>434</v>
      </c>
      <c r="P1451" s="320"/>
    </row>
    <row r="1452" spans="1:16" s="97" customFormat="1" ht="15.75" customHeight="1">
      <c r="A1452" s="31" t="s">
        <v>487</v>
      </c>
      <c r="B1452" s="31" t="s">
        <v>465</v>
      </c>
      <c r="C1452" s="65" t="s">
        <v>94</v>
      </c>
      <c r="D1452" s="181"/>
      <c r="E1452" s="140">
        <v>1</v>
      </c>
      <c r="F1452" s="181"/>
      <c r="G1452" s="137"/>
      <c r="H1452" s="67">
        <f>+Table_1[[#This Row],[Column7]]+Table_1[[#This Row],[Column6]]+Table_1[[#This Row],[Column5]]+Table_1[[#This Row],[Column4]]</f>
        <v>1</v>
      </c>
      <c r="I1452" s="38">
        <v>912372.88</v>
      </c>
      <c r="J1452" s="34">
        <f>'PACC GENERAL 2026'!$I1452*'PACC GENERAL 2026'!$H1452</f>
        <v>912372.88</v>
      </c>
      <c r="K1452" s="89"/>
      <c r="L1452" s="31"/>
      <c r="M1452" s="31"/>
      <c r="N1452" s="32"/>
      <c r="O1452" s="32" t="s">
        <v>434</v>
      </c>
    </row>
    <row r="1453" spans="1:16" s="97" customFormat="1" ht="15.75" customHeight="1">
      <c r="A1453" s="31" t="s">
        <v>487</v>
      </c>
      <c r="B1453" s="31" t="s">
        <v>1616</v>
      </c>
      <c r="C1453" s="65" t="s">
        <v>94</v>
      </c>
      <c r="D1453" s="181"/>
      <c r="E1453" s="194">
        <v>1</v>
      </c>
      <c r="F1453" s="181"/>
      <c r="G1453" s="137"/>
      <c r="H1453" s="67">
        <f>+Table_1[[#This Row],[Column7]]+Table_1[[#This Row],[Column6]]+Table_1[[#This Row],[Column5]]+Table_1[[#This Row],[Column4]]</f>
        <v>1</v>
      </c>
      <c r="I1453" s="38">
        <v>1319322.03</v>
      </c>
      <c r="J1453" s="34">
        <f>'PACC GENERAL 2026'!$I1453*'PACC GENERAL 2026'!$H1453</f>
        <v>1319322.03</v>
      </c>
      <c r="K1453" s="89"/>
      <c r="L1453" s="31"/>
      <c r="M1453" s="31"/>
      <c r="N1453" s="31"/>
      <c r="O1453" s="32" t="s">
        <v>434</v>
      </c>
    </row>
    <row r="1454" spans="1:16" s="97" customFormat="1" ht="15.75" customHeight="1">
      <c r="A1454" s="31" t="s">
        <v>487</v>
      </c>
      <c r="B1454" s="31" t="s">
        <v>1617</v>
      </c>
      <c r="C1454" s="65" t="s">
        <v>94</v>
      </c>
      <c r="D1454" s="181"/>
      <c r="E1454" s="194">
        <v>1</v>
      </c>
      <c r="F1454" s="181"/>
      <c r="G1454" s="140"/>
      <c r="H1454" s="67">
        <f>+Table_1[[#This Row],[Column7]]+Table_1[[#This Row],[Column6]]+Table_1[[#This Row],[Column5]]+Table_1[[#This Row],[Column4]]</f>
        <v>1</v>
      </c>
      <c r="I1454" s="38">
        <v>678508.47</v>
      </c>
      <c r="J1454" s="34">
        <f>'PACC GENERAL 2026'!$I1454*'PACC GENERAL 2026'!$H1454</f>
        <v>678508.47</v>
      </c>
      <c r="K1454" s="89"/>
      <c r="L1454" s="31"/>
      <c r="M1454" s="31"/>
      <c r="N1454" s="31"/>
      <c r="O1454" s="32" t="s">
        <v>434</v>
      </c>
      <c r="P1454" s="320"/>
    </row>
    <row r="1455" spans="1:16" s="97" customFormat="1" ht="15.75" customHeight="1">
      <c r="A1455" s="31" t="s">
        <v>487</v>
      </c>
      <c r="B1455" s="31" t="s">
        <v>1618</v>
      </c>
      <c r="C1455" s="65" t="s">
        <v>94</v>
      </c>
      <c r="D1455" s="140"/>
      <c r="E1455" s="137">
        <v>1</v>
      </c>
      <c r="F1455" s="140"/>
      <c r="G1455" s="137"/>
      <c r="H1455" s="67">
        <f>+Table_1[[#This Row],[Column7]]+Table_1[[#This Row],[Column6]]+Table_1[[#This Row],[Column5]]+Table_1[[#This Row],[Column4]]</f>
        <v>1</v>
      </c>
      <c r="I1455" s="38">
        <v>1017762.71</v>
      </c>
      <c r="J1455" s="34">
        <f>'PACC GENERAL 2026'!$I1455*'PACC GENERAL 2026'!$H1455</f>
        <v>1017762.71</v>
      </c>
      <c r="K1455" s="89"/>
      <c r="L1455" s="31"/>
      <c r="M1455" s="174"/>
      <c r="N1455" s="179"/>
      <c r="O1455" s="32" t="s">
        <v>434</v>
      </c>
    </row>
    <row r="1456" spans="1:16" s="97" customFormat="1" ht="15.75" customHeight="1">
      <c r="A1456" s="31" t="s">
        <v>487</v>
      </c>
      <c r="B1456" s="31" t="s">
        <v>1619</v>
      </c>
      <c r="C1456" s="65" t="s">
        <v>94</v>
      </c>
      <c r="D1456" s="140"/>
      <c r="E1456" s="137">
        <v>1</v>
      </c>
      <c r="F1456" s="140"/>
      <c r="G1456" s="140"/>
      <c r="H1456" s="67">
        <f>+Table_1[[#This Row],[Column7]]+Table_1[[#This Row],[Column6]]+Table_1[[#This Row],[Column5]]+Table_1[[#This Row],[Column4]]</f>
        <v>1</v>
      </c>
      <c r="I1456" s="38">
        <v>2073220.34</v>
      </c>
      <c r="J1456" s="34">
        <f>'PACC GENERAL 2026'!$I1456*'PACC GENERAL 2026'!$H1456</f>
        <v>2073220.34</v>
      </c>
      <c r="K1456" s="89"/>
      <c r="L1456" s="31"/>
      <c r="M1456" s="31"/>
      <c r="N1456" s="32"/>
      <c r="O1456" s="32" t="s">
        <v>434</v>
      </c>
    </row>
    <row r="1457" spans="1:16" s="97" customFormat="1" ht="15.75" customHeight="1">
      <c r="A1457" s="31" t="s">
        <v>487</v>
      </c>
      <c r="B1457" s="31" t="s">
        <v>1620</v>
      </c>
      <c r="C1457" s="65" t="s">
        <v>94</v>
      </c>
      <c r="D1457" s="140"/>
      <c r="E1457" s="140">
        <v>1</v>
      </c>
      <c r="F1457" s="140"/>
      <c r="G1457" s="137"/>
      <c r="H1457" s="67">
        <f>+Table_1[[#This Row],[Column7]]+Table_1[[#This Row],[Column6]]+Table_1[[#This Row],[Column5]]+Table_1[[#This Row],[Column4]]</f>
        <v>1</v>
      </c>
      <c r="I1457" s="38">
        <v>444800</v>
      </c>
      <c r="J1457" s="34">
        <f>'PACC GENERAL 2026'!$I1457*'PACC GENERAL 2026'!$H1457</f>
        <v>444800</v>
      </c>
      <c r="K1457" s="89"/>
      <c r="L1457" s="31"/>
      <c r="M1457" s="31"/>
      <c r="N1457" s="32"/>
      <c r="O1457" s="32" t="s">
        <v>434</v>
      </c>
    </row>
    <row r="1458" spans="1:16" s="97" customFormat="1" ht="15.75" customHeight="1">
      <c r="A1458" s="31" t="s">
        <v>487</v>
      </c>
      <c r="B1458" s="31" t="s">
        <v>1621</v>
      </c>
      <c r="C1458" s="65" t="s">
        <v>94</v>
      </c>
      <c r="D1458" s="181"/>
      <c r="E1458" s="181">
        <v>1</v>
      </c>
      <c r="F1458" s="181"/>
      <c r="G1458" s="137"/>
      <c r="H1458" s="67">
        <f>+Table_1[[#This Row],[Column7]]+Table_1[[#This Row],[Column6]]+Table_1[[#This Row],[Column5]]+Table_1[[#This Row],[Column4]]</f>
        <v>1</v>
      </c>
      <c r="I1458" s="38">
        <v>1130847.46</v>
      </c>
      <c r="J1458" s="34">
        <f>'PACC GENERAL 2026'!$I1458*'PACC GENERAL 2026'!$H1458</f>
        <v>1130847.46</v>
      </c>
      <c r="K1458" s="89"/>
      <c r="L1458" s="31"/>
      <c r="M1458" s="31"/>
      <c r="N1458" s="32"/>
      <c r="O1458" s="32" t="s">
        <v>434</v>
      </c>
    </row>
    <row r="1459" spans="1:16" s="97" customFormat="1" ht="15.75" customHeight="1">
      <c r="A1459" s="31" t="s">
        <v>487</v>
      </c>
      <c r="B1459" s="31" t="s">
        <v>1622</v>
      </c>
      <c r="C1459" s="65" t="s">
        <v>94</v>
      </c>
      <c r="D1459" s="140"/>
      <c r="E1459" s="140"/>
      <c r="F1459" s="140">
        <v>1</v>
      </c>
      <c r="G1459" s="140"/>
      <c r="H1459" s="67">
        <f>+Table_1[[#This Row],[Column7]]+Table_1[[#This Row],[Column6]]+Table_1[[#This Row],[Column5]]+Table_1[[#This Row],[Column4]]</f>
        <v>1</v>
      </c>
      <c r="I1459" s="38">
        <v>1206237.29</v>
      </c>
      <c r="J1459" s="34">
        <f>'PACC GENERAL 2026'!$I1459*'PACC GENERAL 2026'!$H1459</f>
        <v>1206237.29</v>
      </c>
      <c r="K1459" s="89"/>
      <c r="L1459" s="31"/>
      <c r="M1459" s="31"/>
      <c r="N1459" s="32"/>
      <c r="O1459" s="32" t="s">
        <v>434</v>
      </c>
    </row>
    <row r="1460" spans="1:16" s="97" customFormat="1" ht="15.75" customHeight="1">
      <c r="A1460" s="31" t="s">
        <v>487</v>
      </c>
      <c r="B1460" s="31" t="s">
        <v>466</v>
      </c>
      <c r="C1460" s="65" t="s">
        <v>94</v>
      </c>
      <c r="D1460" s="140"/>
      <c r="E1460" s="140"/>
      <c r="F1460" s="140"/>
      <c r="G1460" s="140">
        <v>1</v>
      </c>
      <c r="H1460" s="67">
        <f>+Table_1[[#This Row],[Column7]]+Table_1[[#This Row],[Column6]]+Table_1[[#This Row],[Column5]]+Table_1[[#This Row],[Column4]]</f>
        <v>1</v>
      </c>
      <c r="I1460" s="38">
        <v>444800</v>
      </c>
      <c r="J1460" s="34">
        <f>'PACC GENERAL 2026'!$I1460*'PACC GENERAL 2026'!$H1460</f>
        <v>444800</v>
      </c>
      <c r="K1460" s="89"/>
      <c r="L1460" s="31"/>
      <c r="M1460" s="31"/>
      <c r="N1460" s="32"/>
      <c r="O1460" s="32" t="s">
        <v>434</v>
      </c>
      <c r="P1460" s="320"/>
    </row>
    <row r="1461" spans="1:16" s="97" customFormat="1" ht="15.75" customHeight="1">
      <c r="A1461" s="31" t="s">
        <v>487</v>
      </c>
      <c r="B1461" s="31" t="s">
        <v>467</v>
      </c>
      <c r="C1461" s="65" t="s">
        <v>94</v>
      </c>
      <c r="D1461" s="181"/>
      <c r="E1461" s="181">
        <v>1</v>
      </c>
      <c r="F1461" s="181"/>
      <c r="G1461" s="140"/>
      <c r="H1461" s="67">
        <f>+Table_1[[#This Row],[Column7]]+Table_1[[#This Row],[Column6]]+Table_1[[#This Row],[Column5]]+Table_1[[#This Row],[Column4]]</f>
        <v>1</v>
      </c>
      <c r="I1461" s="38">
        <v>7162033.9000000004</v>
      </c>
      <c r="J1461" s="34">
        <f>'PACC GENERAL 2026'!$I1461*'PACC GENERAL 2026'!$H1461</f>
        <v>7162033.9000000004</v>
      </c>
      <c r="K1461" s="89"/>
      <c r="L1461" s="31"/>
      <c r="M1461" s="31"/>
      <c r="N1461" s="31"/>
      <c r="O1461" s="32" t="s">
        <v>434</v>
      </c>
    </row>
    <row r="1462" spans="1:16" s="97" customFormat="1" ht="15.75" customHeight="1">
      <c r="A1462" s="31" t="s">
        <v>487</v>
      </c>
      <c r="B1462" s="31" t="s">
        <v>468</v>
      </c>
      <c r="C1462" s="65" t="s">
        <v>94</v>
      </c>
      <c r="D1462" s="140"/>
      <c r="E1462" s="137">
        <v>1</v>
      </c>
      <c r="F1462" s="140"/>
      <c r="G1462" s="137"/>
      <c r="H1462" s="67">
        <f>+Table_1[[#This Row],[Column7]]+Table_1[[#This Row],[Column6]]+Table_1[[#This Row],[Column5]]+Table_1[[#This Row],[Column4]]</f>
        <v>1</v>
      </c>
      <c r="I1462" s="38">
        <v>1017762.71</v>
      </c>
      <c r="J1462" s="34">
        <f>'PACC GENERAL 2026'!$I1462*'PACC GENERAL 2026'!$H1462</f>
        <v>1017762.71</v>
      </c>
      <c r="K1462" s="89"/>
      <c r="L1462" s="31"/>
      <c r="M1462" s="31"/>
      <c r="N1462" s="32"/>
      <c r="O1462" s="32" t="s">
        <v>434</v>
      </c>
    </row>
    <row r="1463" spans="1:16" s="97" customFormat="1" ht="15.75" customHeight="1">
      <c r="A1463" s="31" t="s">
        <v>487</v>
      </c>
      <c r="B1463" s="31" t="s">
        <v>1623</v>
      </c>
      <c r="C1463" s="65" t="s">
        <v>94</v>
      </c>
      <c r="D1463" s="140"/>
      <c r="E1463" s="140">
        <v>1</v>
      </c>
      <c r="F1463" s="140"/>
      <c r="G1463" s="140"/>
      <c r="H1463" s="67">
        <f>+Table_1[[#This Row],[Column7]]+Table_1[[#This Row],[Column6]]+Table_1[[#This Row],[Column5]]+Table_1[[#This Row],[Column4]]</f>
        <v>1</v>
      </c>
      <c r="I1463" s="38">
        <v>1130847.46</v>
      </c>
      <c r="J1463" s="34">
        <f>'PACC GENERAL 2026'!$I1463*'PACC GENERAL 2026'!$H1463</f>
        <v>1130847.46</v>
      </c>
      <c r="K1463" s="89"/>
      <c r="L1463" s="31"/>
      <c r="M1463" s="31"/>
      <c r="N1463" s="32"/>
      <c r="O1463" s="32" t="s">
        <v>434</v>
      </c>
    </row>
    <row r="1464" spans="1:16" s="97" customFormat="1" ht="15.75" customHeight="1">
      <c r="A1464" s="48" t="s">
        <v>487</v>
      </c>
      <c r="B1464" s="48" t="s">
        <v>469</v>
      </c>
      <c r="C1464" s="88" t="s">
        <v>94</v>
      </c>
      <c r="D1464" s="147"/>
      <c r="E1464" s="147">
        <v>1</v>
      </c>
      <c r="F1464" s="147"/>
      <c r="G1464" s="147"/>
      <c r="H1464" s="67">
        <f>+Table_1[[#This Row],[Column7]]+Table_1[[#This Row],[Column6]]+Table_1[[#This Row],[Column5]]+Table_1[[#This Row],[Column4]]</f>
        <v>1</v>
      </c>
      <c r="I1464" s="77">
        <v>565423.73</v>
      </c>
      <c r="J1464" s="34">
        <f>'PACC GENERAL 2026'!$I1464*'PACC GENERAL 2026'!$H1464</f>
        <v>565423.73</v>
      </c>
      <c r="K1464" s="90"/>
      <c r="L1464" s="86"/>
      <c r="M1464" s="86"/>
      <c r="N1464" s="86"/>
      <c r="O1464" s="32" t="s">
        <v>434</v>
      </c>
    </row>
    <row r="1465" spans="1:16" s="97" customFormat="1" ht="15.75" customHeight="1">
      <c r="A1465" s="31" t="s">
        <v>487</v>
      </c>
      <c r="B1465" s="31" t="s">
        <v>1624</v>
      </c>
      <c r="C1465" s="65" t="s">
        <v>94</v>
      </c>
      <c r="D1465" s="140"/>
      <c r="E1465" s="140">
        <v>1</v>
      </c>
      <c r="F1465" s="140"/>
      <c r="G1465" s="137"/>
      <c r="H1465" s="67">
        <f>+Table_1[[#This Row],[Column7]]+Table_1[[#This Row],[Column6]]+Table_1[[#This Row],[Column5]]+Table_1[[#This Row],[Column4]]</f>
        <v>1</v>
      </c>
      <c r="I1465" s="38">
        <v>8669830.5099999998</v>
      </c>
      <c r="J1465" s="34">
        <f>'PACC GENERAL 2026'!$I1465*'PACC GENERAL 2026'!$H1465</f>
        <v>8669830.5099999998</v>
      </c>
      <c r="K1465" s="89"/>
      <c r="L1465" s="31"/>
      <c r="M1465" s="31"/>
      <c r="N1465" s="31"/>
      <c r="O1465" s="32" t="s">
        <v>434</v>
      </c>
    </row>
    <row r="1466" spans="1:16" s="97" customFormat="1" ht="15.75" customHeight="1">
      <c r="A1466" s="31" t="s">
        <v>487</v>
      </c>
      <c r="B1466" s="31" t="s">
        <v>470</v>
      </c>
      <c r="C1466" s="65" t="s">
        <v>94</v>
      </c>
      <c r="D1466" s="140"/>
      <c r="E1466" s="137"/>
      <c r="F1466" s="140">
        <v>1</v>
      </c>
      <c r="G1466" s="140"/>
      <c r="H1466" s="67">
        <f>+Table_1[[#This Row],[Column7]]+Table_1[[#This Row],[Column6]]+Table_1[[#This Row],[Column5]]+Table_1[[#This Row],[Column4]]</f>
        <v>1</v>
      </c>
      <c r="I1466" s="38">
        <v>942372.88</v>
      </c>
      <c r="J1466" s="34">
        <f>'PACC GENERAL 2026'!$I1466*'PACC GENERAL 2026'!$H1466</f>
        <v>942372.88</v>
      </c>
      <c r="K1466" s="89"/>
      <c r="L1466" s="31"/>
      <c r="M1466" s="31"/>
      <c r="N1466" s="31"/>
      <c r="O1466" s="32" t="s">
        <v>434</v>
      </c>
    </row>
    <row r="1467" spans="1:16" s="97" customFormat="1" ht="15.75" customHeight="1">
      <c r="A1467" s="48" t="s">
        <v>487</v>
      </c>
      <c r="B1467" s="48" t="s">
        <v>1625</v>
      </c>
      <c r="C1467" s="88" t="s">
        <v>94</v>
      </c>
      <c r="D1467" s="147"/>
      <c r="E1467" s="147">
        <v>1</v>
      </c>
      <c r="F1467" s="147"/>
      <c r="G1467" s="147"/>
      <c r="H1467" s="67">
        <f>+Table_1[[#This Row],[Column7]]+Table_1[[#This Row],[Column6]]+Table_1[[#This Row],[Column5]]+Table_1[[#This Row],[Column4]]</f>
        <v>1</v>
      </c>
      <c r="I1467" s="77">
        <v>3015593.22</v>
      </c>
      <c r="J1467" s="34">
        <f>'PACC GENERAL 2026'!$I1467*'PACC GENERAL 2026'!$H1467</f>
        <v>3015593.22</v>
      </c>
      <c r="K1467" s="90"/>
      <c r="L1467" s="86"/>
      <c r="M1467" s="86"/>
      <c r="N1467" s="86"/>
      <c r="O1467" s="32" t="s">
        <v>434</v>
      </c>
    </row>
    <row r="1468" spans="1:16" s="97" customFormat="1" ht="15.75" customHeight="1">
      <c r="A1468" s="31" t="s">
        <v>487</v>
      </c>
      <c r="B1468" s="31" t="s">
        <v>1626</v>
      </c>
      <c r="C1468" s="65" t="s">
        <v>94</v>
      </c>
      <c r="D1468" s="181"/>
      <c r="E1468" s="194">
        <v>1</v>
      </c>
      <c r="F1468" s="181"/>
      <c r="G1468" s="137"/>
      <c r="H1468" s="67">
        <f>+Table_1[[#This Row],[Column7]]+Table_1[[#This Row],[Column6]]+Table_1[[#This Row],[Column5]]+Table_1[[#This Row],[Column4]]</f>
        <v>1</v>
      </c>
      <c r="I1468" s="38">
        <v>1507796.61</v>
      </c>
      <c r="J1468" s="34">
        <f>'PACC GENERAL 2026'!$I1468*'PACC GENERAL 2026'!$H1468</f>
        <v>1507796.61</v>
      </c>
      <c r="K1468" s="89"/>
      <c r="L1468" s="31"/>
      <c r="M1468" s="31"/>
      <c r="N1468" s="31"/>
      <c r="O1468" s="32" t="s">
        <v>434</v>
      </c>
    </row>
    <row r="1469" spans="1:16" s="97" customFormat="1" ht="15.75" customHeight="1">
      <c r="A1469" s="31" t="s">
        <v>487</v>
      </c>
      <c r="B1469" s="31" t="s">
        <v>471</v>
      </c>
      <c r="C1469" s="65" t="s">
        <v>94</v>
      </c>
      <c r="D1469" s="181"/>
      <c r="E1469" s="137">
        <v>1</v>
      </c>
      <c r="F1469" s="181"/>
      <c r="G1469" s="137"/>
      <c r="H1469" s="67">
        <f>+Table_1[[#This Row],[Column7]]+Table_1[[#This Row],[Column6]]+Table_1[[#This Row],[Column5]]+Table_1[[#This Row],[Column4]]</f>
        <v>1</v>
      </c>
      <c r="I1469" s="38">
        <v>2450169.4900000002</v>
      </c>
      <c r="J1469" s="34">
        <f>'PACC GENERAL 2026'!$I1469*'PACC GENERAL 2026'!$H1469</f>
        <v>2450169.4900000002</v>
      </c>
      <c r="K1469" s="89"/>
      <c r="L1469" s="31"/>
      <c r="M1469" s="31"/>
      <c r="N1469" s="32"/>
      <c r="O1469" s="32" t="s">
        <v>434</v>
      </c>
    </row>
    <row r="1470" spans="1:16" s="97" customFormat="1" ht="15.75" customHeight="1">
      <c r="A1470" s="31" t="s">
        <v>487</v>
      </c>
      <c r="B1470" s="31" t="s">
        <v>1627</v>
      </c>
      <c r="C1470" s="65" t="s">
        <v>94</v>
      </c>
      <c r="D1470" s="181"/>
      <c r="E1470" s="194">
        <v>1</v>
      </c>
      <c r="F1470" s="181"/>
      <c r="G1470" s="140"/>
      <c r="H1470" s="67">
        <f>+Table_1[[#This Row],[Column7]]+Table_1[[#This Row],[Column6]]+Table_1[[#This Row],[Column5]]+Table_1[[#This Row],[Column4]]</f>
        <v>1</v>
      </c>
      <c r="I1470" s="38">
        <v>829288.14</v>
      </c>
      <c r="J1470" s="34">
        <f>'PACC GENERAL 2026'!$I1470*'PACC GENERAL 2026'!$H1470</f>
        <v>829288.14</v>
      </c>
      <c r="K1470" s="89"/>
      <c r="L1470" s="31"/>
      <c r="M1470" s="31"/>
      <c r="N1470" s="32"/>
      <c r="O1470" s="32" t="s">
        <v>434</v>
      </c>
      <c r="P1470" s="320"/>
    </row>
    <row r="1471" spans="1:16" s="97" customFormat="1" ht="15.75" customHeight="1">
      <c r="A1471" s="31" t="s">
        <v>487</v>
      </c>
      <c r="B1471" s="31" t="s">
        <v>474</v>
      </c>
      <c r="C1471" s="65" t="s">
        <v>94</v>
      </c>
      <c r="D1471" s="140">
        <v>1</v>
      </c>
      <c r="E1471" s="397"/>
      <c r="F1471" s="140"/>
      <c r="G1471" s="140"/>
      <c r="H1471" s="67">
        <f>+Table_1[[#This Row],[Column7]]+Table_1[[#This Row],[Column6]]+Table_1[[#This Row],[Column5]]+Table_1[[#This Row],[Column4]]</f>
        <v>1</v>
      </c>
      <c r="I1471" s="38">
        <v>889600</v>
      </c>
      <c r="J1471" s="34">
        <f>'PACC GENERAL 2026'!$I1471*'PACC GENERAL 2026'!$H1471</f>
        <v>889600</v>
      </c>
      <c r="K1471" s="89"/>
      <c r="L1471" s="31"/>
      <c r="M1471" s="31"/>
      <c r="N1471" s="32"/>
      <c r="O1471" s="32" t="s">
        <v>434</v>
      </c>
      <c r="P1471" s="320"/>
    </row>
    <row r="1472" spans="1:16" s="97" customFormat="1" ht="15.75" customHeight="1">
      <c r="A1472" s="31" t="s">
        <v>487</v>
      </c>
      <c r="B1472" s="31" t="s">
        <v>472</v>
      </c>
      <c r="C1472" s="65" t="s">
        <v>94</v>
      </c>
      <c r="D1472" s="140"/>
      <c r="E1472" s="140">
        <v>1</v>
      </c>
      <c r="F1472" s="140"/>
      <c r="G1472" s="137"/>
      <c r="H1472" s="67">
        <f>+Table_1[[#This Row],[Column7]]+Table_1[[#This Row],[Column6]]+Table_1[[#This Row],[Column5]]+Table_1[[#This Row],[Column4]]</f>
        <v>1</v>
      </c>
      <c r="I1472" s="38">
        <v>942372.88</v>
      </c>
      <c r="J1472" s="34">
        <f>'PACC GENERAL 2026'!$I1472*'PACC GENERAL 2026'!$H1472</f>
        <v>942372.88</v>
      </c>
      <c r="K1472" s="89"/>
      <c r="L1472" s="31"/>
      <c r="M1472" s="31"/>
      <c r="N1472" s="31"/>
      <c r="O1472" s="32" t="s">
        <v>434</v>
      </c>
    </row>
    <row r="1473" spans="1:16" s="97" customFormat="1" ht="23.15" customHeight="1">
      <c r="A1473" s="31" t="s">
        <v>487</v>
      </c>
      <c r="B1473" s="31" t="s">
        <v>473</v>
      </c>
      <c r="C1473" s="65" t="s">
        <v>94</v>
      </c>
      <c r="D1473" s="181"/>
      <c r="E1473" s="194">
        <v>1</v>
      </c>
      <c r="F1473" s="181"/>
      <c r="G1473" s="137"/>
      <c r="H1473" s="67">
        <f>+Table_1[[#This Row],[Column7]]+Table_1[[#This Row],[Column6]]+Table_1[[#This Row],[Column5]]+Table_1[[#This Row],[Column4]]</f>
        <v>1</v>
      </c>
      <c r="I1473" s="38">
        <v>1771661.02</v>
      </c>
      <c r="J1473" s="34">
        <f>'PACC GENERAL 2026'!$I1473*'PACC GENERAL 2026'!$H1473</f>
        <v>1771661.02</v>
      </c>
      <c r="K1473" s="89"/>
      <c r="L1473" s="31"/>
      <c r="M1473" s="31"/>
      <c r="N1473" s="32"/>
      <c r="O1473" s="32" t="s">
        <v>434</v>
      </c>
    </row>
    <row r="1474" spans="1:16" s="97" customFormat="1" ht="20.149999999999999" customHeight="1">
      <c r="A1474" s="31" t="s">
        <v>487</v>
      </c>
      <c r="B1474" s="31" t="s">
        <v>1628</v>
      </c>
      <c r="C1474" s="65" t="s">
        <v>94</v>
      </c>
      <c r="D1474" s="140"/>
      <c r="E1474" s="140">
        <v>1</v>
      </c>
      <c r="F1474" s="140"/>
      <c r="G1474" s="137"/>
      <c r="H1474" s="67">
        <f>+Table_1[[#This Row],[Column7]]+Table_1[[#This Row],[Column6]]+Table_1[[#This Row],[Column5]]+Table_1[[#This Row],[Column4]]</f>
        <v>1</v>
      </c>
      <c r="I1474" s="38">
        <v>942372.88</v>
      </c>
      <c r="J1474" s="34">
        <f>'PACC GENERAL 2026'!$I1474*'PACC GENERAL 2026'!$H1474</f>
        <v>942372.88</v>
      </c>
      <c r="K1474" s="89"/>
      <c r="L1474" s="31"/>
      <c r="M1474" s="31"/>
      <c r="N1474" s="32"/>
      <c r="O1474" s="32" t="s">
        <v>434</v>
      </c>
    </row>
    <row r="1475" spans="1:16" s="97" customFormat="1" ht="20.149999999999999" customHeight="1">
      <c r="A1475" s="31" t="s">
        <v>487</v>
      </c>
      <c r="B1475" s="31" t="s">
        <v>476</v>
      </c>
      <c r="C1475" s="65" t="s">
        <v>94</v>
      </c>
      <c r="D1475" s="181"/>
      <c r="E1475" s="181">
        <v>1</v>
      </c>
      <c r="F1475" s="181"/>
      <c r="G1475" s="137"/>
      <c r="H1475" s="67">
        <f>+Table_1[[#This Row],[Column7]]+Table_1[[#This Row],[Column6]]+Table_1[[#This Row],[Column5]]+Table_1[[#This Row],[Column4]]</f>
        <v>1</v>
      </c>
      <c r="I1475" s="38">
        <v>716203.39</v>
      </c>
      <c r="J1475" s="34">
        <f>'PACC GENERAL 2026'!$I1475*'PACC GENERAL 2026'!$H1475</f>
        <v>716203.39</v>
      </c>
      <c r="K1475" s="89"/>
      <c r="L1475" s="31"/>
      <c r="M1475" s="31"/>
      <c r="N1475" s="32"/>
      <c r="O1475" s="32" t="s">
        <v>434</v>
      </c>
    </row>
    <row r="1476" spans="1:16" s="97" customFormat="1" ht="20.149999999999999" customHeight="1">
      <c r="A1476" s="31" t="s">
        <v>487</v>
      </c>
      <c r="B1476" s="31" t="s">
        <v>1629</v>
      </c>
      <c r="C1476" s="65" t="s">
        <v>94</v>
      </c>
      <c r="D1476" s="181"/>
      <c r="E1476" s="194">
        <v>1</v>
      </c>
      <c r="F1476" s="181"/>
      <c r="G1476" s="137"/>
      <c r="H1476" s="67">
        <f>+Table_1[[#This Row],[Column7]]+Table_1[[#This Row],[Column6]]+Table_1[[#This Row],[Column5]]+Table_1[[#This Row],[Column4]]</f>
        <v>1</v>
      </c>
      <c r="I1476" s="38">
        <v>1319322.03</v>
      </c>
      <c r="J1476" s="34">
        <f>'PACC GENERAL 2026'!$I1476*'PACC GENERAL 2026'!$H1476</f>
        <v>1319322.03</v>
      </c>
      <c r="K1476" s="89"/>
      <c r="L1476" s="31"/>
      <c r="M1476" s="31"/>
      <c r="N1476" s="32"/>
      <c r="O1476" s="32" t="s">
        <v>434</v>
      </c>
    </row>
    <row r="1477" spans="1:16" s="97" customFormat="1" ht="15.75" customHeight="1">
      <c r="A1477" s="174" t="s">
        <v>487</v>
      </c>
      <c r="B1477" s="174" t="s">
        <v>475</v>
      </c>
      <c r="C1477" s="178" t="s">
        <v>94</v>
      </c>
      <c r="D1477" s="181"/>
      <c r="E1477" s="194"/>
      <c r="F1477" s="140"/>
      <c r="G1477" s="181">
        <v>1</v>
      </c>
      <c r="H1477" s="67">
        <f>+Table_1[[#This Row],[Column7]]+Table_1[[#This Row],[Column6]]+Table_1[[#This Row],[Column5]]+Table_1[[#This Row],[Column4]]</f>
        <v>1</v>
      </c>
      <c r="I1477" s="177">
        <v>753898.31</v>
      </c>
      <c r="J1477" s="34">
        <f>'PACC GENERAL 2026'!$I1477*'PACC GENERAL 2026'!$H1477</f>
        <v>753898.31</v>
      </c>
      <c r="K1477" s="89"/>
      <c r="L1477" s="31"/>
      <c r="M1477" s="31"/>
      <c r="N1477" s="31"/>
      <c r="O1477" s="32" t="s">
        <v>434</v>
      </c>
    </row>
    <row r="1478" spans="1:16" s="97" customFormat="1" ht="15.75" customHeight="1">
      <c r="A1478" s="31" t="s">
        <v>487</v>
      </c>
      <c r="B1478" s="31" t="s">
        <v>478</v>
      </c>
      <c r="C1478" s="65" t="s">
        <v>94</v>
      </c>
      <c r="D1478" s="140"/>
      <c r="E1478" s="140">
        <v>1</v>
      </c>
      <c r="F1478" s="140"/>
      <c r="G1478" s="137"/>
      <c r="H1478" s="67">
        <f>+Table_1[[#This Row],[Column7]]+Table_1[[#This Row],[Column6]]+Table_1[[#This Row],[Column5]]+Table_1[[#This Row],[Column4]]</f>
        <v>1</v>
      </c>
      <c r="I1478" s="38">
        <v>889600</v>
      </c>
      <c r="J1478" s="34">
        <f>'PACC GENERAL 2026'!$I1478*'PACC GENERAL 2026'!$H1478</f>
        <v>889600</v>
      </c>
      <c r="K1478" s="89"/>
      <c r="L1478" s="31"/>
      <c r="M1478" s="31"/>
      <c r="N1478" s="31"/>
      <c r="O1478" s="32" t="s">
        <v>434</v>
      </c>
    </row>
    <row r="1479" spans="1:16" s="97" customFormat="1" ht="15.75" customHeight="1">
      <c r="A1479" s="31" t="s">
        <v>487</v>
      </c>
      <c r="B1479" s="31" t="s">
        <v>1630</v>
      </c>
      <c r="C1479" s="65" t="s">
        <v>94</v>
      </c>
      <c r="D1479" s="140"/>
      <c r="E1479" s="137">
        <v>1</v>
      </c>
      <c r="F1479" s="140"/>
      <c r="G1479" s="137"/>
      <c r="H1479" s="67">
        <f>+Table_1[[#This Row],[Column7]]+Table_1[[#This Row],[Column6]]+Table_1[[#This Row],[Column5]]+Table_1[[#This Row],[Column4]]</f>
        <v>1</v>
      </c>
      <c r="I1479" s="38">
        <v>837665.08</v>
      </c>
      <c r="J1479" s="34">
        <f>'PACC GENERAL 2026'!$I1479*'PACC GENERAL 2026'!$H1479</f>
        <v>837665.08</v>
      </c>
      <c r="K1479" s="89"/>
      <c r="L1479" s="31"/>
      <c r="M1479" s="31"/>
      <c r="N1479" s="32"/>
      <c r="O1479" s="32" t="s">
        <v>434</v>
      </c>
    </row>
    <row r="1480" spans="1:16" s="97" customFormat="1" ht="15.75" customHeight="1">
      <c r="A1480" s="31" t="s">
        <v>487</v>
      </c>
      <c r="B1480" s="31" t="s">
        <v>477</v>
      </c>
      <c r="C1480" s="65" t="s">
        <v>94</v>
      </c>
      <c r="D1480" s="140"/>
      <c r="E1480" s="140">
        <v>1</v>
      </c>
      <c r="F1480" s="140"/>
      <c r="G1480" s="140"/>
      <c r="H1480" s="67">
        <f>+Table_1[[#This Row],[Column7]]+Table_1[[#This Row],[Column6]]+Table_1[[#This Row],[Column5]]+Table_1[[#This Row],[Column4]]</f>
        <v>1</v>
      </c>
      <c r="I1480" s="38">
        <v>1130847.46</v>
      </c>
      <c r="J1480" s="34">
        <f>'PACC GENERAL 2026'!$I1480*'PACC GENERAL 2026'!$H1480</f>
        <v>1130847.46</v>
      </c>
      <c r="K1480" s="89"/>
      <c r="L1480" s="31"/>
      <c r="M1480" s="31"/>
      <c r="N1480" s="32"/>
      <c r="O1480" s="32" t="s">
        <v>434</v>
      </c>
    </row>
    <row r="1481" spans="1:16" s="97" customFormat="1" ht="15.75" customHeight="1">
      <c r="A1481" s="31" t="s">
        <v>487</v>
      </c>
      <c r="B1481" s="31" t="s">
        <v>1631</v>
      </c>
      <c r="C1481" s="65" t="s">
        <v>94</v>
      </c>
      <c r="D1481" s="140"/>
      <c r="E1481" s="137">
        <v>1</v>
      </c>
      <c r="F1481" s="140"/>
      <c r="G1481" s="140"/>
      <c r="H1481" s="67">
        <f>+Table_1[[#This Row],[Column7]]+Table_1[[#This Row],[Column6]]+Table_1[[#This Row],[Column5]]+Table_1[[#This Row],[Column4]]</f>
        <v>1</v>
      </c>
      <c r="I1481" s="38">
        <v>1639932.2</v>
      </c>
      <c r="J1481" s="34">
        <f>'PACC GENERAL 2026'!$I1481*'PACC GENERAL 2026'!$H1481</f>
        <v>1639932.2</v>
      </c>
      <c r="K1481" s="89"/>
      <c r="L1481" s="31"/>
      <c r="M1481" s="31"/>
      <c r="N1481" s="32"/>
      <c r="O1481" s="32" t="s">
        <v>434</v>
      </c>
    </row>
    <row r="1482" spans="1:16" s="97" customFormat="1" ht="15.75" customHeight="1">
      <c r="A1482" s="48" t="s">
        <v>487</v>
      </c>
      <c r="B1482" s="48" t="s">
        <v>479</v>
      </c>
      <c r="C1482" s="88" t="s">
        <v>94</v>
      </c>
      <c r="D1482" s="147"/>
      <c r="E1482" s="194"/>
      <c r="F1482" s="147"/>
      <c r="G1482" s="137">
        <v>1</v>
      </c>
      <c r="H1482" s="67">
        <f>+Table_1[[#This Row],[Column7]]+Table_1[[#This Row],[Column6]]+Table_1[[#This Row],[Column5]]+Table_1[[#This Row],[Column4]]</f>
        <v>1</v>
      </c>
      <c r="I1482" s="77">
        <v>1281627.1200000001</v>
      </c>
      <c r="J1482" s="34">
        <f>'PACC GENERAL 2026'!$I1482*'PACC GENERAL 2026'!$H1482</f>
        <v>1281627.1200000001</v>
      </c>
      <c r="K1482" s="90"/>
      <c r="L1482" s="86"/>
      <c r="M1482" s="86"/>
      <c r="N1482" s="86"/>
      <c r="O1482" s="32" t="s">
        <v>434</v>
      </c>
    </row>
    <row r="1483" spans="1:16" s="97" customFormat="1" ht="15.75" customHeight="1">
      <c r="A1483" s="31" t="s">
        <v>487</v>
      </c>
      <c r="B1483" s="31" t="s">
        <v>1632</v>
      </c>
      <c r="C1483" s="65" t="s">
        <v>94</v>
      </c>
      <c r="D1483" s="181"/>
      <c r="E1483" s="194">
        <v>1</v>
      </c>
      <c r="F1483" s="181"/>
      <c r="G1483" s="140"/>
      <c r="H1483" s="67">
        <f>+Table_1[[#This Row],[Column7]]+Table_1[[#This Row],[Column6]]+Table_1[[#This Row],[Column5]]+Table_1[[#This Row],[Column4]]</f>
        <v>1</v>
      </c>
      <c r="I1483" s="38">
        <v>1243932.2</v>
      </c>
      <c r="J1483" s="34">
        <f>'PACC GENERAL 2026'!$I1483*'PACC GENERAL 2026'!$H1483</f>
        <v>1243932.2</v>
      </c>
      <c r="K1483" s="89"/>
      <c r="L1483" s="31"/>
      <c r="M1483" s="31"/>
      <c r="N1483" s="32"/>
      <c r="O1483" s="32" t="s">
        <v>434</v>
      </c>
    </row>
    <row r="1484" spans="1:16" s="97" customFormat="1" ht="15.75" customHeight="1">
      <c r="A1484" s="31" t="s">
        <v>487</v>
      </c>
      <c r="B1484" s="48" t="s">
        <v>1633</v>
      </c>
      <c r="C1484" s="88" t="s">
        <v>94</v>
      </c>
      <c r="D1484" s="147"/>
      <c r="E1484" s="137">
        <v>1</v>
      </c>
      <c r="F1484" s="147"/>
      <c r="G1484" s="147"/>
      <c r="H1484" s="67">
        <f>+Table_1[[#This Row],[Column7]]+Table_1[[#This Row],[Column6]]+Table_1[[#This Row],[Column5]]+Table_1[[#This Row],[Column4]]</f>
        <v>1</v>
      </c>
      <c r="I1484" s="77">
        <v>889600</v>
      </c>
      <c r="J1484" s="34">
        <f>'PACC GENERAL 2026'!$I1484*'PACC GENERAL 2026'!$H1484</f>
        <v>889600</v>
      </c>
      <c r="K1484" s="90"/>
      <c r="L1484" s="86"/>
      <c r="M1484" s="86"/>
      <c r="N1484" s="86"/>
      <c r="O1484" s="32" t="s">
        <v>434</v>
      </c>
      <c r="P1484" s="320"/>
    </row>
    <row r="1485" spans="1:16" s="97" customFormat="1" ht="15.75" customHeight="1">
      <c r="A1485" s="31" t="s">
        <v>487</v>
      </c>
      <c r="B1485" s="31" t="s">
        <v>480</v>
      </c>
      <c r="C1485" s="65" t="s">
        <v>94</v>
      </c>
      <c r="D1485" s="140"/>
      <c r="E1485" s="137">
        <v>1</v>
      </c>
      <c r="F1485" s="140"/>
      <c r="G1485" s="140"/>
      <c r="H1485" s="67">
        <f>+Table_1[[#This Row],[Column7]]+Table_1[[#This Row],[Column6]]+Table_1[[#This Row],[Column5]]+Table_1[[#This Row],[Column4]]</f>
        <v>1</v>
      </c>
      <c r="I1485" s="38">
        <v>1017762.71</v>
      </c>
      <c r="J1485" s="34">
        <f>'PACC GENERAL 2026'!$I1485*'PACC GENERAL 2026'!$H1485</f>
        <v>1017762.71</v>
      </c>
      <c r="K1485" s="89"/>
      <c r="L1485" s="31"/>
      <c r="M1485" s="31"/>
      <c r="N1485" s="32"/>
      <c r="O1485" s="32" t="s">
        <v>434</v>
      </c>
    </row>
    <row r="1486" spans="1:16" s="97" customFormat="1" ht="15.75" customHeight="1">
      <c r="A1486" s="31" t="s">
        <v>487</v>
      </c>
      <c r="B1486" s="31" t="s">
        <v>1634</v>
      </c>
      <c r="C1486" s="65" t="s">
        <v>94</v>
      </c>
      <c r="D1486" s="181"/>
      <c r="E1486" s="194">
        <v>1</v>
      </c>
      <c r="F1486" s="181"/>
      <c r="G1486" s="140"/>
      <c r="H1486" s="67">
        <f>+Table_1[[#This Row],[Column7]]+Table_1[[#This Row],[Column6]]+Table_1[[#This Row],[Column5]]+Table_1[[#This Row],[Column4]]</f>
        <v>1</v>
      </c>
      <c r="I1486" s="38">
        <v>1130847.46</v>
      </c>
      <c r="J1486" s="34">
        <f>'PACC GENERAL 2026'!$I1486*'PACC GENERAL 2026'!$H1486</f>
        <v>1130847.46</v>
      </c>
      <c r="K1486" s="89"/>
      <c r="L1486" s="31"/>
      <c r="M1486" s="31"/>
      <c r="N1486" s="32"/>
      <c r="O1486" s="32" t="s">
        <v>434</v>
      </c>
      <c r="P1486" s="320"/>
    </row>
    <row r="1487" spans="1:16" s="97" customFormat="1" ht="15.75" customHeight="1">
      <c r="A1487" s="31" t="s">
        <v>487</v>
      </c>
      <c r="B1487" s="31" t="s">
        <v>1635</v>
      </c>
      <c r="C1487" s="65" t="s">
        <v>94</v>
      </c>
      <c r="D1487" s="140"/>
      <c r="E1487" s="137">
        <v>1</v>
      </c>
      <c r="F1487" s="140"/>
      <c r="G1487" s="140"/>
      <c r="H1487" s="67">
        <f>+Table_1[[#This Row],[Column7]]+Table_1[[#This Row],[Column6]]+Table_1[[#This Row],[Column5]]+Table_1[[#This Row],[Column4]]</f>
        <v>1</v>
      </c>
      <c r="I1487" s="38">
        <v>942372.88</v>
      </c>
      <c r="J1487" s="34">
        <f>'PACC GENERAL 2026'!$I1487*'PACC GENERAL 2026'!$H1487</f>
        <v>942372.88</v>
      </c>
      <c r="K1487" s="89"/>
      <c r="L1487" s="31"/>
      <c r="M1487" s="31"/>
      <c r="N1487" s="31"/>
      <c r="O1487" s="32" t="s">
        <v>434</v>
      </c>
    </row>
    <row r="1488" spans="1:16" s="97" customFormat="1" ht="15.75" customHeight="1">
      <c r="A1488" s="31" t="s">
        <v>487</v>
      </c>
      <c r="B1488" s="31" t="s">
        <v>481</v>
      </c>
      <c r="C1488" s="65" t="s">
        <v>94</v>
      </c>
      <c r="D1488" s="140"/>
      <c r="E1488" s="137">
        <v>1</v>
      </c>
      <c r="F1488" s="140"/>
      <c r="G1488" s="140"/>
      <c r="H1488" s="67">
        <f>+Table_1[[#This Row],[Column7]]+Table_1[[#This Row],[Column6]]+Table_1[[#This Row],[Column5]]+Table_1[[#This Row],[Column4]]</f>
        <v>1</v>
      </c>
      <c r="I1488" s="38">
        <v>1017762.71</v>
      </c>
      <c r="J1488" s="34">
        <f>'PACC GENERAL 2026'!$I1488*'PACC GENERAL 2026'!$H1488</f>
        <v>1017762.71</v>
      </c>
      <c r="K1488" s="89"/>
      <c r="L1488" s="31"/>
      <c r="M1488" s="31"/>
      <c r="N1488" s="31"/>
      <c r="O1488" s="32" t="s">
        <v>434</v>
      </c>
    </row>
    <row r="1489" spans="1:16" s="97" customFormat="1" ht="15.75" customHeight="1">
      <c r="A1489" s="31" t="s">
        <v>487</v>
      </c>
      <c r="B1489" s="31" t="s">
        <v>1636</v>
      </c>
      <c r="C1489" s="65" t="s">
        <v>94</v>
      </c>
      <c r="D1489" s="140"/>
      <c r="E1489" s="137">
        <v>1</v>
      </c>
      <c r="F1489" s="140"/>
      <c r="G1489" s="140"/>
      <c r="H1489" s="67">
        <f>+Table_1[[#This Row],[Column7]]+Table_1[[#This Row],[Column6]]+Table_1[[#This Row],[Column5]]+Table_1[[#This Row],[Column4]]</f>
        <v>1</v>
      </c>
      <c r="I1489" s="38">
        <v>1771661.02</v>
      </c>
      <c r="J1489" s="34">
        <f>'PACC GENERAL 2026'!$I1489*'PACC GENERAL 2026'!$H1489</f>
        <v>1771661.02</v>
      </c>
      <c r="K1489" s="89"/>
      <c r="L1489" s="31"/>
      <c r="M1489" s="31"/>
      <c r="N1489" s="31"/>
      <c r="O1489" s="32" t="s">
        <v>434</v>
      </c>
    </row>
    <row r="1490" spans="1:16" s="97" customFormat="1" ht="15.75" customHeight="1">
      <c r="A1490" s="31" t="s">
        <v>487</v>
      </c>
      <c r="B1490" s="31" t="s">
        <v>1637</v>
      </c>
      <c r="C1490" s="65" t="s">
        <v>94</v>
      </c>
      <c r="D1490" s="181"/>
      <c r="E1490" s="194">
        <v>1</v>
      </c>
      <c r="F1490" s="181"/>
      <c r="G1490" s="140"/>
      <c r="H1490" s="67">
        <f>+Table_1[[#This Row],[Column7]]+Table_1[[#This Row],[Column6]]+Table_1[[#This Row],[Column5]]+Table_1[[#This Row],[Column4]]</f>
        <v>1</v>
      </c>
      <c r="I1490" s="38">
        <v>2827118.64</v>
      </c>
      <c r="J1490" s="34">
        <f>'PACC GENERAL 2026'!$I1490*'PACC GENERAL 2026'!$H1490</f>
        <v>2827118.64</v>
      </c>
      <c r="K1490" s="89"/>
      <c r="L1490" s="31"/>
      <c r="M1490" s="31"/>
      <c r="N1490" s="31"/>
      <c r="O1490" s="32" t="s">
        <v>434</v>
      </c>
    </row>
    <row r="1491" spans="1:16" s="97" customFormat="1" ht="15.75" customHeight="1">
      <c r="A1491" s="31" t="s">
        <v>487</v>
      </c>
      <c r="B1491" s="31" t="s">
        <v>1638</v>
      </c>
      <c r="C1491" s="65" t="s">
        <v>94</v>
      </c>
      <c r="D1491" s="181"/>
      <c r="E1491" s="194"/>
      <c r="F1491" s="181">
        <v>1</v>
      </c>
      <c r="G1491" s="140"/>
      <c r="H1491" s="67">
        <f>+Table_1[[#This Row],[Column7]]+Table_1[[#This Row],[Column6]]+Table_1[[#This Row],[Column5]]+Table_1[[#This Row],[Column4]]</f>
        <v>1</v>
      </c>
      <c r="I1491" s="38">
        <v>1319322.03</v>
      </c>
      <c r="J1491" s="34">
        <f>'PACC GENERAL 2026'!$I1491*'PACC GENERAL 2026'!$H1491</f>
        <v>1319322.03</v>
      </c>
      <c r="K1491" s="89"/>
      <c r="L1491" s="31"/>
      <c r="M1491" s="31"/>
      <c r="N1491" s="31"/>
      <c r="O1491" s="32" t="s">
        <v>434</v>
      </c>
      <c r="P1491" s="320"/>
    </row>
    <row r="1492" spans="1:16" s="97" customFormat="1" ht="15.75" customHeight="1">
      <c r="A1492" s="31" t="s">
        <v>487</v>
      </c>
      <c r="B1492" s="31" t="s">
        <v>483</v>
      </c>
      <c r="C1492" s="65" t="s">
        <v>94</v>
      </c>
      <c r="D1492" s="147"/>
      <c r="E1492" s="231">
        <v>1</v>
      </c>
      <c r="F1492" s="147"/>
      <c r="G1492" s="140"/>
      <c r="H1492" s="67">
        <f>+Table_1[[#This Row],[Column7]]+Table_1[[#This Row],[Column6]]+Table_1[[#This Row],[Column5]]+Table_1[[#This Row],[Column4]]</f>
        <v>1</v>
      </c>
      <c r="I1492" s="38">
        <v>2827118.64</v>
      </c>
      <c r="J1492" s="34">
        <f>'PACC GENERAL 2026'!$I1492*'PACC GENERAL 2026'!$H1492</f>
        <v>2827118.64</v>
      </c>
      <c r="K1492" s="89"/>
      <c r="L1492" s="31"/>
      <c r="M1492" s="31"/>
      <c r="N1492" s="31"/>
      <c r="O1492" s="32" t="s">
        <v>434</v>
      </c>
      <c r="P1492" s="320"/>
    </row>
    <row r="1493" spans="1:16" s="97" customFormat="1" ht="15.75" customHeight="1">
      <c r="A1493" s="31" t="s">
        <v>487</v>
      </c>
      <c r="B1493" s="31" t="s">
        <v>484</v>
      </c>
      <c r="C1493" s="65" t="s">
        <v>94</v>
      </c>
      <c r="D1493" s="147"/>
      <c r="E1493" s="231">
        <v>1</v>
      </c>
      <c r="F1493" s="147"/>
      <c r="G1493" s="140"/>
      <c r="H1493" s="67">
        <f>+Table_1[[#This Row],[Column7]]+Table_1[[#This Row],[Column6]]+Table_1[[#This Row],[Column5]]+Table_1[[#This Row],[Column4]]</f>
        <v>1</v>
      </c>
      <c r="I1493" s="38">
        <v>678508.47</v>
      </c>
      <c r="J1493" s="34">
        <f>'PACC GENERAL 2026'!$I1493*'PACC GENERAL 2026'!$H1493</f>
        <v>678508.47</v>
      </c>
      <c r="K1493" s="89"/>
      <c r="L1493" s="31"/>
      <c r="M1493" s="31"/>
      <c r="N1493" s="31"/>
      <c r="O1493" s="32" t="s">
        <v>434</v>
      </c>
      <c r="P1493" s="320"/>
    </row>
    <row r="1494" spans="1:16" s="97" customFormat="1" ht="15.75" customHeight="1">
      <c r="A1494" s="31" t="s">
        <v>487</v>
      </c>
      <c r="B1494" s="31" t="s">
        <v>862</v>
      </c>
      <c r="C1494" s="65" t="s">
        <v>94</v>
      </c>
      <c r="D1494" s="147"/>
      <c r="E1494" s="231">
        <v>1</v>
      </c>
      <c r="F1494" s="147"/>
      <c r="G1494" s="140"/>
      <c r="H1494" s="67">
        <f>+Table_1[[#This Row],[Column7]]+Table_1[[#This Row],[Column6]]+Table_1[[#This Row],[Column5]]+Table_1[[#This Row],[Column4]]</f>
        <v>1</v>
      </c>
      <c r="I1494" s="38">
        <v>444800</v>
      </c>
      <c r="J1494" s="34">
        <f>'PACC GENERAL 2026'!$I1494*'PACC GENERAL 2026'!$H1494</f>
        <v>444800</v>
      </c>
      <c r="K1494" s="89"/>
      <c r="L1494" s="31"/>
      <c r="M1494" s="31"/>
      <c r="N1494" s="31"/>
      <c r="O1494" s="32" t="s">
        <v>434</v>
      </c>
      <c r="P1494" s="320"/>
    </row>
    <row r="1495" spans="1:16" s="97" customFormat="1" ht="15.75" customHeight="1">
      <c r="A1495" s="31" t="s">
        <v>487</v>
      </c>
      <c r="B1495" s="31" t="s">
        <v>1639</v>
      </c>
      <c r="C1495" s="65" t="s">
        <v>94</v>
      </c>
      <c r="D1495" s="147"/>
      <c r="E1495" s="231"/>
      <c r="F1495" s="147"/>
      <c r="G1495" s="140">
        <v>1</v>
      </c>
      <c r="H1495" s="67">
        <f>+Table_1[[#This Row],[Column7]]+Table_1[[#This Row],[Column6]]+Table_1[[#This Row],[Column5]]+Table_1[[#This Row],[Column4]]</f>
        <v>1</v>
      </c>
      <c r="I1495" s="38">
        <v>452338.98</v>
      </c>
      <c r="J1495" s="34">
        <f>'PACC GENERAL 2026'!$I1495*'PACC GENERAL 2026'!$H1495</f>
        <v>452338.98</v>
      </c>
      <c r="K1495" s="89"/>
      <c r="L1495" s="31"/>
      <c r="M1495" s="31"/>
      <c r="N1495" s="31"/>
      <c r="O1495" s="32" t="s">
        <v>434</v>
      </c>
      <c r="P1495" s="320"/>
    </row>
    <row r="1496" spans="1:16" s="97" customFormat="1" ht="15.75" customHeight="1">
      <c r="A1496" s="31" t="s">
        <v>487</v>
      </c>
      <c r="B1496" s="31" t="s">
        <v>482</v>
      </c>
      <c r="C1496" s="65" t="s">
        <v>94</v>
      </c>
      <c r="D1496" s="147"/>
      <c r="E1496" s="231">
        <v>1</v>
      </c>
      <c r="F1496" s="147"/>
      <c r="G1496" s="140"/>
      <c r="H1496" s="67">
        <f>+Table_1[[#This Row],[Column7]]+Table_1[[#This Row],[Column6]]+Table_1[[#This Row],[Column5]]+Table_1[[#This Row],[Column4]]</f>
        <v>1</v>
      </c>
      <c r="I1496" s="38">
        <v>1017762.71</v>
      </c>
      <c r="J1496" s="34">
        <f>'PACC GENERAL 2026'!$I1496*'PACC GENERAL 2026'!$H1496</f>
        <v>1017762.71</v>
      </c>
      <c r="K1496" s="89"/>
      <c r="L1496" s="31"/>
      <c r="M1496" s="31"/>
      <c r="N1496" s="31"/>
      <c r="O1496" s="32" t="s">
        <v>434</v>
      </c>
      <c r="P1496" s="320"/>
    </row>
    <row r="1497" spans="1:16" s="97" customFormat="1" ht="15.75" customHeight="1">
      <c r="A1497" s="31" t="s">
        <v>487</v>
      </c>
      <c r="B1497" s="31" t="s">
        <v>1640</v>
      </c>
      <c r="C1497" s="65" t="s">
        <v>94</v>
      </c>
      <c r="D1497" s="147"/>
      <c r="E1497" s="231">
        <v>1</v>
      </c>
      <c r="F1497" s="147"/>
      <c r="G1497" s="140"/>
      <c r="H1497" s="67">
        <f>+Table_1[[#This Row],[Column7]]+Table_1[[#This Row],[Column6]]+Table_1[[#This Row],[Column5]]+Table_1[[#This Row],[Column4]]</f>
        <v>1</v>
      </c>
      <c r="I1497" s="38">
        <v>1017762.71</v>
      </c>
      <c r="J1497" s="34">
        <f>'PACC GENERAL 2026'!$I1497*'PACC GENERAL 2026'!$H1497</f>
        <v>1017762.71</v>
      </c>
      <c r="K1497" s="89"/>
      <c r="L1497" s="31"/>
      <c r="M1497" s="31"/>
      <c r="N1497" s="31"/>
      <c r="O1497" s="32" t="s">
        <v>434</v>
      </c>
      <c r="P1497" s="320"/>
    </row>
    <row r="1498" spans="1:16" s="97" customFormat="1" ht="15.75" customHeight="1">
      <c r="A1498" s="31" t="s">
        <v>487</v>
      </c>
      <c r="B1498" s="31" t="s">
        <v>1641</v>
      </c>
      <c r="C1498" s="65" t="s">
        <v>94</v>
      </c>
      <c r="D1498" s="147"/>
      <c r="E1498" s="231">
        <v>1</v>
      </c>
      <c r="F1498" s="147"/>
      <c r="G1498" s="140"/>
      <c r="H1498" s="67">
        <f>+Table_1[[#This Row],[Column7]]+Table_1[[#This Row],[Column6]]+Table_1[[#This Row],[Column5]]+Table_1[[#This Row],[Column4]]</f>
        <v>1</v>
      </c>
      <c r="I1498" s="38">
        <v>452338.98</v>
      </c>
      <c r="J1498" s="34">
        <f>'PACC GENERAL 2026'!$I1498*'PACC GENERAL 2026'!$H1498</f>
        <v>452338.98</v>
      </c>
      <c r="K1498" s="89"/>
      <c r="L1498" s="31"/>
      <c r="M1498" s="31"/>
      <c r="N1498" s="31"/>
      <c r="O1498" s="32" t="s">
        <v>434</v>
      </c>
      <c r="P1498" s="320"/>
    </row>
    <row r="1499" spans="1:16" s="97" customFormat="1" ht="15.75" customHeight="1">
      <c r="A1499" s="31" t="s">
        <v>487</v>
      </c>
      <c r="B1499" s="31" t="s">
        <v>1642</v>
      </c>
      <c r="C1499" s="65" t="s">
        <v>94</v>
      </c>
      <c r="D1499" s="147"/>
      <c r="E1499" s="231">
        <v>1</v>
      </c>
      <c r="F1499" s="147"/>
      <c r="G1499" s="140"/>
      <c r="H1499" s="67">
        <f>+Table_1[[#This Row],[Column7]]+Table_1[[#This Row],[Column6]]+Table_1[[#This Row],[Column5]]+Table_1[[#This Row],[Column4]]</f>
        <v>1</v>
      </c>
      <c r="I1499" s="38">
        <v>2638644.0699999998</v>
      </c>
      <c r="J1499" s="34">
        <f>'PACC GENERAL 2026'!$I1499*'PACC GENERAL 2026'!$H1499</f>
        <v>2638644.0699999998</v>
      </c>
      <c r="K1499" s="89"/>
      <c r="L1499" s="31"/>
      <c r="M1499" s="31"/>
      <c r="N1499" s="31"/>
      <c r="O1499" s="32" t="s">
        <v>434</v>
      </c>
      <c r="P1499" s="320"/>
    </row>
    <row r="1500" spans="1:16" s="97" customFormat="1" ht="15.75" customHeight="1">
      <c r="A1500" s="31" t="s">
        <v>487</v>
      </c>
      <c r="B1500" s="31" t="s">
        <v>485</v>
      </c>
      <c r="C1500" s="65" t="s">
        <v>94</v>
      </c>
      <c r="D1500" s="147"/>
      <c r="E1500" s="231"/>
      <c r="F1500" s="147"/>
      <c r="G1500" s="140">
        <v>1</v>
      </c>
      <c r="H1500" s="67">
        <f>+Table_1[[#This Row],[Column7]]+Table_1[[#This Row],[Column6]]+Table_1[[#This Row],[Column5]]+Table_1[[#This Row],[Column4]]</f>
        <v>1</v>
      </c>
      <c r="I1500" s="38">
        <v>2073220.34</v>
      </c>
      <c r="J1500" s="34">
        <f>'PACC GENERAL 2026'!$I1500*'PACC GENERAL 2026'!$H1500</f>
        <v>2073220.34</v>
      </c>
      <c r="K1500" s="89"/>
      <c r="L1500" s="31"/>
      <c r="M1500" s="31"/>
      <c r="N1500" s="31"/>
      <c r="O1500" s="32" t="s">
        <v>434</v>
      </c>
      <c r="P1500" s="320"/>
    </row>
    <row r="1501" spans="1:16" s="97" customFormat="1" ht="15.75" customHeight="1">
      <c r="A1501" s="31" t="s">
        <v>487</v>
      </c>
      <c r="B1501" s="31" t="s">
        <v>724</v>
      </c>
      <c r="C1501" s="65" t="s">
        <v>94</v>
      </c>
      <c r="D1501" s="147"/>
      <c r="E1501" s="231">
        <v>1</v>
      </c>
      <c r="F1501" s="147"/>
      <c r="G1501" s="140"/>
      <c r="H1501" s="67">
        <f>+Table_1[[#This Row],[Column7]]+Table_1[[#This Row],[Column6]]+Table_1[[#This Row],[Column5]]+Table_1[[#This Row],[Column4]]</f>
        <v>1</v>
      </c>
      <c r="I1501" s="38">
        <v>1130847.46</v>
      </c>
      <c r="J1501" s="34">
        <f>'PACC GENERAL 2026'!$I1501*'PACC GENERAL 2026'!$H1501</f>
        <v>1130847.46</v>
      </c>
      <c r="K1501" s="89"/>
      <c r="L1501" s="31"/>
      <c r="M1501" s="31"/>
      <c r="N1501" s="31"/>
      <c r="O1501" s="32" t="s">
        <v>434</v>
      </c>
      <c r="P1501" s="320"/>
    </row>
    <row r="1502" spans="1:16" s="97" customFormat="1" ht="15.75" customHeight="1">
      <c r="A1502" s="31" t="s">
        <v>487</v>
      </c>
      <c r="B1502" s="31" t="s">
        <v>1643</v>
      </c>
      <c r="C1502" s="65" t="s">
        <v>94</v>
      </c>
      <c r="D1502" s="147"/>
      <c r="E1502" s="231">
        <v>1</v>
      </c>
      <c r="F1502" s="147"/>
      <c r="G1502" s="140"/>
      <c r="H1502" s="67">
        <f>+Table_1[[#This Row],[Column7]]+Table_1[[#This Row],[Column6]]+Table_1[[#This Row],[Column5]]+Table_1[[#This Row],[Column4]]</f>
        <v>1</v>
      </c>
      <c r="I1502" s="38">
        <v>1017762.71</v>
      </c>
      <c r="J1502" s="34">
        <f>'PACC GENERAL 2026'!$I1502*'PACC GENERAL 2026'!$H1502</f>
        <v>1017762.71</v>
      </c>
      <c r="K1502" s="89"/>
      <c r="L1502" s="31"/>
      <c r="M1502" s="31"/>
      <c r="N1502" s="31"/>
      <c r="O1502" s="32" t="s">
        <v>434</v>
      </c>
      <c r="P1502" s="320"/>
    </row>
    <row r="1503" spans="1:16" s="97" customFormat="1" ht="15.75" customHeight="1">
      <c r="A1503" s="31" t="s">
        <v>487</v>
      </c>
      <c r="B1503" s="31" t="s">
        <v>1644</v>
      </c>
      <c r="C1503" s="65" t="s">
        <v>94</v>
      </c>
      <c r="D1503" s="147"/>
      <c r="E1503" s="231">
        <v>1</v>
      </c>
      <c r="F1503" s="147"/>
      <c r="G1503" s="140"/>
      <c r="H1503" s="67">
        <f>+Table_1[[#This Row],[Column7]]+Table_1[[#This Row],[Column6]]+Table_1[[#This Row],[Column5]]+Table_1[[#This Row],[Column4]]</f>
        <v>1</v>
      </c>
      <c r="I1503" s="38">
        <v>444800</v>
      </c>
      <c r="J1503" s="34">
        <f>'PACC GENERAL 2026'!$I1503*'PACC GENERAL 2026'!$H1503</f>
        <v>444800</v>
      </c>
      <c r="K1503" s="89"/>
      <c r="L1503" s="31"/>
      <c r="M1503" s="31"/>
      <c r="N1503" s="31"/>
      <c r="O1503" s="32" t="s">
        <v>434</v>
      </c>
      <c r="P1503" s="320"/>
    </row>
    <row r="1504" spans="1:16" s="97" customFormat="1" ht="15.75" customHeight="1">
      <c r="A1504" s="31" t="s">
        <v>487</v>
      </c>
      <c r="B1504" s="31" t="s">
        <v>1645</v>
      </c>
      <c r="C1504" s="65" t="s">
        <v>94</v>
      </c>
      <c r="D1504" s="147"/>
      <c r="E1504" s="231">
        <v>1</v>
      </c>
      <c r="F1504" s="147"/>
      <c r="G1504" s="140"/>
      <c r="H1504" s="67">
        <f>+Table_1[[#This Row],[Column7]]+Table_1[[#This Row],[Column6]]+Table_1[[#This Row],[Column5]]+Table_1[[#This Row],[Column4]]</f>
        <v>1</v>
      </c>
      <c r="I1504" s="38">
        <v>889600</v>
      </c>
      <c r="J1504" s="34">
        <f>'PACC GENERAL 2026'!$I1504*'PACC GENERAL 2026'!$H1504</f>
        <v>889600</v>
      </c>
      <c r="K1504" s="89"/>
      <c r="L1504" s="31"/>
      <c r="M1504" s="31"/>
      <c r="N1504" s="31"/>
      <c r="O1504" s="32" t="s">
        <v>434</v>
      </c>
      <c r="P1504" s="320"/>
    </row>
    <row r="1505" spans="1:16" s="97" customFormat="1" ht="15.75" customHeight="1">
      <c r="A1505" s="31" t="s">
        <v>487</v>
      </c>
      <c r="B1505" s="31" t="s">
        <v>486</v>
      </c>
      <c r="C1505" s="65" t="s">
        <v>94</v>
      </c>
      <c r="D1505" s="231">
        <v>1</v>
      </c>
      <c r="E1505" s="397"/>
      <c r="F1505" s="147"/>
      <c r="G1505" s="140"/>
      <c r="H1505" s="67">
        <f>+Table_1[[#This Row],[Column7]]+Table_1[[#This Row],[Column6]]+Table_1[[#This Row],[Column5]]+Table_1[[#This Row],[Column4]]</f>
        <v>1</v>
      </c>
      <c r="I1505" s="38">
        <v>3769491.53</v>
      </c>
      <c r="J1505" s="34">
        <f>'PACC GENERAL 2026'!$I1505*'PACC GENERAL 2026'!$H1505</f>
        <v>3769491.53</v>
      </c>
      <c r="K1505" s="89"/>
      <c r="L1505" s="31"/>
      <c r="M1505" s="31"/>
      <c r="N1505" s="31"/>
      <c r="O1505" s="32" t="s">
        <v>434</v>
      </c>
      <c r="P1505" s="320"/>
    </row>
    <row r="1506" spans="1:16" s="97" customFormat="1" ht="15.75" customHeight="1">
      <c r="A1506" s="91" t="s">
        <v>487</v>
      </c>
      <c r="B1506" s="91"/>
      <c r="C1506" s="91"/>
      <c r="D1506" s="159"/>
      <c r="E1506" s="159"/>
      <c r="F1506" s="159"/>
      <c r="G1506" s="159"/>
      <c r="H1506" s="159"/>
      <c r="I1506" s="44"/>
      <c r="J1506" s="12"/>
      <c r="K1506" s="13">
        <f>SUM(J1446:J1505)</f>
        <v>85615685.400000006</v>
      </c>
      <c r="L1506" s="10"/>
      <c r="M1506" s="10"/>
      <c r="N1506" s="10"/>
      <c r="O1506" s="357"/>
    </row>
    <row r="1507" spans="1:16" s="97" customFormat="1" ht="15.5">
      <c r="A1507" s="36" t="s">
        <v>651</v>
      </c>
      <c r="B1507" s="36" t="s">
        <v>1375</v>
      </c>
      <c r="C1507" s="37" t="s">
        <v>94</v>
      </c>
      <c r="D1507" s="138">
        <v>1</v>
      </c>
      <c r="E1507" s="138"/>
      <c r="F1507" s="138"/>
      <c r="G1507" s="138"/>
      <c r="H1507" s="67">
        <f>+Table_1[[#This Row],[Column7]]+Table_1[[#This Row],[Column6]]+Table_1[[#This Row],[Column5]]+Table_1[[#This Row],[Column4]]</f>
        <v>1</v>
      </c>
      <c r="I1507" s="38">
        <v>230000</v>
      </c>
      <c r="J1507" s="39">
        <f>'PACC GENERAL 2026'!$I1507*'PACC GENERAL 2026'!$H1507</f>
        <v>230000</v>
      </c>
      <c r="K1507" s="40"/>
      <c r="L1507" s="36"/>
      <c r="M1507" s="36"/>
      <c r="N1507" s="37"/>
      <c r="O1507" s="37" t="s">
        <v>1374</v>
      </c>
      <c r="P1507" s="287"/>
    </row>
    <row r="1508" spans="1:16" s="287" customFormat="1" ht="15.5">
      <c r="A1508" s="36" t="s">
        <v>651</v>
      </c>
      <c r="B1508" s="36" t="s">
        <v>1376</v>
      </c>
      <c r="C1508" s="37" t="s">
        <v>94</v>
      </c>
      <c r="D1508" s="138"/>
      <c r="E1508" s="138">
        <v>1</v>
      </c>
      <c r="F1508" s="138"/>
      <c r="G1508" s="138"/>
      <c r="H1508" s="67">
        <f>+Table_1[[#This Row],[Column7]]+Table_1[[#This Row],[Column6]]+Table_1[[#This Row],[Column5]]+Table_1[[#This Row],[Column4]]</f>
        <v>1</v>
      </c>
      <c r="I1508" s="38">
        <v>220000</v>
      </c>
      <c r="J1508" s="17">
        <f>'PACC GENERAL 2026'!$I1508*'PACC GENERAL 2026'!$H1508</f>
        <v>220000</v>
      </c>
      <c r="K1508" s="40"/>
      <c r="L1508" s="36"/>
      <c r="M1508" s="36"/>
      <c r="N1508" s="37"/>
      <c r="O1508" s="37" t="s">
        <v>1374</v>
      </c>
    </row>
    <row r="1509" spans="1:16" s="287" customFormat="1" ht="15.5">
      <c r="A1509" s="9" t="s">
        <v>651</v>
      </c>
      <c r="B1509" s="10"/>
      <c r="C1509" s="10"/>
      <c r="D1509" s="152"/>
      <c r="E1509" s="152"/>
      <c r="F1509" s="152"/>
      <c r="G1509" s="152"/>
      <c r="H1509" s="109"/>
      <c r="I1509" s="44"/>
      <c r="J1509" s="12"/>
      <c r="K1509" s="13">
        <f>SUM(J1507:J1508)</f>
        <v>450000</v>
      </c>
      <c r="L1509" s="10"/>
      <c r="M1509" s="10"/>
      <c r="N1509" s="10"/>
      <c r="O1509" s="74"/>
      <c r="P1509" s="278"/>
    </row>
    <row r="1510" spans="1:16" ht="15.5">
      <c r="A1510" s="36" t="s">
        <v>1371</v>
      </c>
      <c r="B1510" s="36" t="s">
        <v>1372</v>
      </c>
      <c r="C1510" s="37" t="s">
        <v>94</v>
      </c>
      <c r="D1510" s="138"/>
      <c r="E1510" s="138">
        <v>150</v>
      </c>
      <c r="F1510" s="138"/>
      <c r="G1510" s="138"/>
      <c r="H1510" s="67">
        <f t="shared" ref="H1510:H1511" si="45">SUM(D1510:G1510)</f>
        <v>150</v>
      </c>
      <c r="I1510" s="38">
        <f>2000000/150</f>
        <v>13333.333333333334</v>
      </c>
      <c r="J1510" s="34">
        <f>'PACC GENERAL 2026'!$I1510*'PACC GENERAL 2026'!$H1510</f>
        <v>2000000</v>
      </c>
      <c r="K1510" s="40"/>
      <c r="L1510" s="36"/>
      <c r="M1510" s="36"/>
      <c r="N1510" s="37"/>
      <c r="O1510" s="37" t="s">
        <v>1338</v>
      </c>
      <c r="P1510" s="287"/>
    </row>
    <row r="1511" spans="1:16" s="287" customFormat="1" ht="15.5">
      <c r="A1511" s="36" t="s">
        <v>1371</v>
      </c>
      <c r="B1511" s="36" t="s">
        <v>1373</v>
      </c>
      <c r="C1511" s="37" t="s">
        <v>94</v>
      </c>
      <c r="D1511" s="138">
        <v>1</v>
      </c>
      <c r="E1511" s="138"/>
      <c r="F1511" s="138"/>
      <c r="G1511" s="138"/>
      <c r="H1511" s="67">
        <f t="shared" si="45"/>
        <v>1</v>
      </c>
      <c r="I1511" s="38">
        <v>2400000</v>
      </c>
      <c r="J1511" s="34">
        <f>'PACC GENERAL 2026'!$I1511*'PACC GENERAL 2026'!$H1511</f>
        <v>2400000</v>
      </c>
      <c r="K1511" s="40"/>
      <c r="L1511" s="36"/>
      <c r="M1511" s="36"/>
      <c r="N1511" s="37"/>
      <c r="O1511" s="37" t="s">
        <v>1338</v>
      </c>
    </row>
    <row r="1512" spans="1:16" s="287" customFormat="1" ht="15.5">
      <c r="A1512" s="9" t="s">
        <v>1371</v>
      </c>
      <c r="B1512" s="10"/>
      <c r="C1512" s="10"/>
      <c r="D1512" s="152"/>
      <c r="E1512" s="152"/>
      <c r="F1512" s="152"/>
      <c r="G1512" s="152"/>
      <c r="H1512" s="109"/>
      <c r="I1512" s="44"/>
      <c r="J1512" s="12"/>
      <c r="K1512" s="13">
        <f>SUM(J1510:J1511)</f>
        <v>4400000</v>
      </c>
      <c r="L1512" s="10"/>
      <c r="M1512" s="10"/>
      <c r="N1512" s="10"/>
      <c r="O1512" s="74"/>
      <c r="P1512" s="278"/>
    </row>
    <row r="1513" spans="1:16" ht="15.5">
      <c r="A1513" s="31" t="s">
        <v>489</v>
      </c>
      <c r="B1513" s="36" t="s">
        <v>490</v>
      </c>
      <c r="C1513" s="32" t="s">
        <v>93</v>
      </c>
      <c r="D1513" s="286"/>
      <c r="E1513" s="298"/>
      <c r="F1513" s="139"/>
      <c r="G1513" s="139"/>
      <c r="H1513" s="67">
        <f>+Table_1[[#This Row],[Column7]]+Table_1[[#This Row],[Column6]]+Table_1[[#This Row],[Column5]]+Table_1[[#This Row],[Column4]]</f>
        <v>0</v>
      </c>
      <c r="I1513" s="38">
        <v>60000</v>
      </c>
      <c r="J1513" s="34">
        <f>'PACC GENERAL 2026'!$I1513*'PACC GENERAL 2026'!$H1513</f>
        <v>0</v>
      </c>
      <c r="K1513" s="90"/>
      <c r="L1513" s="86"/>
      <c r="M1513" s="86"/>
      <c r="N1513" s="86"/>
      <c r="O1513" s="32"/>
      <c r="P1513" s="97"/>
    </row>
    <row r="1514" spans="1:16" s="97" customFormat="1" ht="15.5">
      <c r="A1514" s="91" t="s">
        <v>489</v>
      </c>
      <c r="B1514" s="91"/>
      <c r="C1514" s="91"/>
      <c r="D1514" s="159"/>
      <c r="E1514" s="159"/>
      <c r="F1514" s="159"/>
      <c r="G1514" s="159"/>
      <c r="H1514" s="159"/>
      <c r="I1514" s="44"/>
      <c r="J1514" s="12"/>
      <c r="K1514" s="13">
        <f>SUM(J1513)</f>
        <v>0</v>
      </c>
      <c r="L1514" s="10"/>
      <c r="M1514" s="10"/>
      <c r="N1514" s="10"/>
      <c r="O1514" s="357"/>
    </row>
    <row r="1515" spans="1:16" s="97" customFormat="1" ht="15.5">
      <c r="A1515" s="36" t="s">
        <v>57</v>
      </c>
      <c r="B1515" s="36" t="s">
        <v>380</v>
      </c>
      <c r="C1515" s="37" t="s">
        <v>94</v>
      </c>
      <c r="D1515" s="138"/>
      <c r="E1515" s="138"/>
      <c r="F1515" s="138"/>
      <c r="G1515" s="138"/>
      <c r="H1515" s="67">
        <f>+Table_1[[#This Row],[Column7]]+Table_1[[#This Row],[Column6]]+Table_1[[#This Row],[Column5]]+Table_1[[#This Row],[Column4]]</f>
        <v>0</v>
      </c>
      <c r="I1515" s="38">
        <v>19000000</v>
      </c>
      <c r="J1515" s="39">
        <f>'PACC GENERAL 2026'!$I1515*'PACC GENERAL 2026'!$H1515</f>
        <v>0</v>
      </c>
      <c r="K1515" s="40"/>
      <c r="L1515" s="36"/>
      <c r="M1515" s="36"/>
      <c r="N1515" s="36"/>
      <c r="O1515" s="37"/>
      <c r="P1515" s="287"/>
    </row>
    <row r="1516" spans="1:16" s="287" customFormat="1" ht="15.5">
      <c r="A1516" s="36" t="s">
        <v>57</v>
      </c>
      <c r="B1516" s="36" t="s">
        <v>1029</v>
      </c>
      <c r="C1516" s="37" t="s">
        <v>94</v>
      </c>
      <c r="D1516" s="138">
        <v>1</v>
      </c>
      <c r="E1516" s="138"/>
      <c r="F1516" s="138"/>
      <c r="G1516" s="138"/>
      <c r="H1516" s="67">
        <f>+Table_1[[#This Row],[Column7]]+Table_1[[#This Row],[Column6]]+Table_1[[#This Row],[Column5]]+Table_1[[#This Row],[Column4]]</f>
        <v>1</v>
      </c>
      <c r="I1516" s="38">
        <v>8000000</v>
      </c>
      <c r="J1516" s="39">
        <f>'PACC GENERAL 2026'!$I1516*'PACC GENERAL 2026'!$H1516</f>
        <v>8000000</v>
      </c>
      <c r="K1516" s="40"/>
      <c r="L1516" s="36"/>
      <c r="M1516" s="36"/>
      <c r="N1516" s="36"/>
      <c r="O1516" s="37" t="s">
        <v>1018</v>
      </c>
    </row>
    <row r="1517" spans="1:16" s="287" customFormat="1" ht="15.5">
      <c r="A1517" s="9" t="s">
        <v>57</v>
      </c>
      <c r="B1517" s="10"/>
      <c r="C1517" s="10"/>
      <c r="D1517" s="152"/>
      <c r="E1517" s="152"/>
      <c r="F1517" s="152"/>
      <c r="G1517" s="152"/>
      <c r="H1517" s="109"/>
      <c r="I1517" s="44"/>
      <c r="J1517" s="12"/>
      <c r="K1517" s="13">
        <f>SUM(J1515:J1516)</f>
        <v>8000000</v>
      </c>
      <c r="L1517" s="10"/>
      <c r="M1517" s="10"/>
      <c r="N1517" s="10"/>
      <c r="O1517" s="74"/>
      <c r="P1517" s="278"/>
    </row>
    <row r="1518" spans="1:16" ht="15.5">
      <c r="A1518" s="36" t="s">
        <v>364</v>
      </c>
      <c r="B1518" s="36" t="s">
        <v>717</v>
      </c>
      <c r="C1518" s="37" t="s">
        <v>94</v>
      </c>
      <c r="D1518" s="138"/>
      <c r="E1518" s="138"/>
      <c r="F1518" s="138"/>
      <c r="G1518" s="138"/>
      <c r="H1518" s="67">
        <f>+Table_1[[#This Row],[Column7]]+Table_1[[#This Row],[Column6]]+Table_1[[#This Row],[Column5]]+Table_1[[#This Row],[Column4]]</f>
        <v>0</v>
      </c>
      <c r="I1518" s="38">
        <v>90000</v>
      </c>
      <c r="J1518" s="34">
        <f>'PACC GENERAL 2026'!$I1518*'PACC GENERAL 2026'!$H1518</f>
        <v>0</v>
      </c>
      <c r="K1518" s="40"/>
      <c r="L1518" s="36"/>
      <c r="M1518" s="36"/>
      <c r="N1518" s="36"/>
      <c r="O1518" s="37"/>
      <c r="P1518" s="323"/>
    </row>
    <row r="1519" spans="1:16" s="363" customFormat="1" ht="15.5">
      <c r="A1519" s="36" t="s">
        <v>364</v>
      </c>
      <c r="B1519" s="36" t="s">
        <v>1503</v>
      </c>
      <c r="C1519" s="37" t="s">
        <v>94</v>
      </c>
      <c r="D1519" s="110">
        <v>1</v>
      </c>
      <c r="E1519" s="110"/>
      <c r="F1519" s="138"/>
      <c r="G1519" s="110"/>
      <c r="H1519" s="67">
        <v>1</v>
      </c>
      <c r="I1519" s="38">
        <v>1800000</v>
      </c>
      <c r="J1519" s="34">
        <v>1800000</v>
      </c>
      <c r="K1519" s="40"/>
      <c r="L1519" s="37"/>
      <c r="M1519" s="379"/>
      <c r="N1519" s="41"/>
      <c r="O1519" s="37" t="s">
        <v>404</v>
      </c>
      <c r="P1519" s="41"/>
    </row>
    <row r="1520" spans="1:16" s="363" customFormat="1" ht="31">
      <c r="A1520" s="36" t="s">
        <v>364</v>
      </c>
      <c r="B1520" s="36" t="s">
        <v>1504</v>
      </c>
      <c r="C1520" s="37" t="s">
        <v>133</v>
      </c>
      <c r="D1520" s="110">
        <v>1</v>
      </c>
      <c r="E1520" s="110"/>
      <c r="F1520" s="138"/>
      <c r="G1520" s="110"/>
      <c r="H1520" s="67">
        <v>1</v>
      </c>
      <c r="I1520" s="38">
        <v>1800000</v>
      </c>
      <c r="J1520" s="34">
        <v>1800000</v>
      </c>
      <c r="K1520" s="40"/>
      <c r="L1520" s="37"/>
      <c r="M1520" s="379"/>
      <c r="N1520" s="41"/>
      <c r="O1520" s="37" t="s">
        <v>404</v>
      </c>
      <c r="P1520" s="41"/>
    </row>
    <row r="1521" spans="1:16" s="363" customFormat="1" ht="15.5">
      <c r="A1521" s="36" t="s">
        <v>364</v>
      </c>
      <c r="B1521" s="36" t="s">
        <v>1505</v>
      </c>
      <c r="C1521" s="37" t="s">
        <v>94</v>
      </c>
      <c r="D1521" s="110">
        <v>1</v>
      </c>
      <c r="E1521" s="110"/>
      <c r="F1521" s="138"/>
      <c r="G1521" s="110"/>
      <c r="H1521" s="67">
        <v>1</v>
      </c>
      <c r="I1521" s="38">
        <v>1800000</v>
      </c>
      <c r="J1521" s="34">
        <v>1800000</v>
      </c>
      <c r="K1521" s="40"/>
      <c r="L1521" s="37"/>
      <c r="M1521" s="379"/>
      <c r="N1521" s="41"/>
      <c r="O1521" s="37" t="s">
        <v>404</v>
      </c>
      <c r="P1521" s="41"/>
    </row>
    <row r="1522" spans="1:16" s="363" customFormat="1" ht="15.5">
      <c r="A1522" s="36" t="s">
        <v>364</v>
      </c>
      <c r="B1522" s="36" t="s">
        <v>1506</v>
      </c>
      <c r="C1522" s="37" t="s">
        <v>133</v>
      </c>
      <c r="D1522" s="110">
        <v>1</v>
      </c>
      <c r="E1522" s="110"/>
      <c r="F1522" s="138"/>
      <c r="G1522" s="110"/>
      <c r="H1522" s="67">
        <v>1</v>
      </c>
      <c r="I1522" s="38">
        <v>1800000</v>
      </c>
      <c r="J1522" s="34">
        <v>1800000</v>
      </c>
      <c r="K1522" s="40"/>
      <c r="L1522" s="37"/>
      <c r="M1522" s="379"/>
      <c r="N1522" s="41"/>
      <c r="O1522" s="37" t="s">
        <v>404</v>
      </c>
      <c r="P1522" s="41"/>
    </row>
    <row r="1523" spans="1:16" s="363" customFormat="1" ht="15.5">
      <c r="A1523" s="36" t="s">
        <v>364</v>
      </c>
      <c r="B1523" s="36" t="s">
        <v>1507</v>
      </c>
      <c r="C1523" s="37" t="s">
        <v>133</v>
      </c>
      <c r="D1523" s="110">
        <v>1</v>
      </c>
      <c r="E1523" s="110"/>
      <c r="F1523" s="138"/>
      <c r="G1523" s="110"/>
      <c r="H1523" s="67">
        <v>1</v>
      </c>
      <c r="I1523" s="38">
        <v>2500000</v>
      </c>
      <c r="J1523" s="34">
        <v>2500000</v>
      </c>
      <c r="K1523" s="40"/>
      <c r="L1523" s="37"/>
      <c r="M1523" s="379"/>
      <c r="N1523" s="41"/>
      <c r="O1523" s="37" t="s">
        <v>404</v>
      </c>
      <c r="P1523" s="41"/>
    </row>
    <row r="1524" spans="1:16" s="363" customFormat="1" ht="31">
      <c r="A1524" s="36" t="s">
        <v>364</v>
      </c>
      <c r="B1524" s="36" t="s">
        <v>1508</v>
      </c>
      <c r="C1524" s="37" t="s">
        <v>133</v>
      </c>
      <c r="D1524" s="110">
        <v>1</v>
      </c>
      <c r="E1524" s="110"/>
      <c r="F1524" s="138"/>
      <c r="G1524" s="110"/>
      <c r="H1524" s="67">
        <v>1</v>
      </c>
      <c r="I1524" s="38">
        <v>25000000</v>
      </c>
      <c r="J1524" s="34">
        <v>25000000</v>
      </c>
      <c r="K1524" s="40"/>
      <c r="L1524" s="37"/>
      <c r="M1524" s="379"/>
      <c r="N1524" s="41"/>
      <c r="O1524" s="37" t="s">
        <v>404</v>
      </c>
      <c r="P1524" s="41"/>
    </row>
    <row r="1525" spans="1:16" s="418" customFormat="1" ht="19.5" customHeight="1">
      <c r="A1525" s="399" t="s">
        <v>364</v>
      </c>
      <c r="B1525" s="399" t="s">
        <v>1365</v>
      </c>
      <c r="C1525" s="407" t="s">
        <v>94</v>
      </c>
      <c r="D1525" s="415"/>
      <c r="E1525" s="416">
        <v>1</v>
      </c>
      <c r="F1525" s="415"/>
      <c r="G1525" s="415"/>
      <c r="H1525" s="410">
        <f t="shared" ref="H1525" si="46">SUM(D1525:G1525)</f>
        <v>1</v>
      </c>
      <c r="I1525" s="274">
        <v>200000</v>
      </c>
      <c r="J1525" s="411">
        <v>200000</v>
      </c>
      <c r="K1525" s="412"/>
      <c r="L1525" s="399"/>
      <c r="M1525" s="399"/>
      <c r="N1525" s="407"/>
      <c r="O1525" s="407" t="s">
        <v>1338</v>
      </c>
      <c r="P1525" s="417"/>
    </row>
    <row r="1526" spans="1:16" s="418" customFormat="1" ht="24.75" customHeight="1">
      <c r="A1526" s="399" t="s">
        <v>364</v>
      </c>
      <c r="B1526" s="399" t="s">
        <v>270</v>
      </c>
      <c r="C1526" s="407" t="s">
        <v>94</v>
      </c>
      <c r="D1526" s="415"/>
      <c r="E1526" s="416">
        <v>2</v>
      </c>
      <c r="F1526" s="415"/>
      <c r="G1526" s="415"/>
      <c r="H1526" s="410">
        <f>+Table_1[[#This Row],[Column7]]+Table_1[[#This Row],[Column6]]+Table_1[[#This Row],[Column5]]+Table_1[[#This Row],[Column4]]</f>
        <v>2</v>
      </c>
      <c r="I1526" s="274">
        <v>119300</v>
      </c>
      <c r="J1526" s="411">
        <f>'PACC GENERAL 2026'!$I1526*'PACC GENERAL 2026'!$H1526</f>
        <v>238600</v>
      </c>
      <c r="K1526" s="412"/>
      <c r="L1526" s="399"/>
      <c r="M1526" s="399"/>
      <c r="N1526" s="407"/>
      <c r="O1526" s="407" t="s">
        <v>1101</v>
      </c>
      <c r="P1526" s="417"/>
    </row>
    <row r="1527" spans="1:16" s="287" customFormat="1" ht="15.5">
      <c r="A1527" s="36" t="s">
        <v>364</v>
      </c>
      <c r="B1527" s="36" t="s">
        <v>723</v>
      </c>
      <c r="C1527" s="37" t="s">
        <v>94</v>
      </c>
      <c r="D1527" s="138"/>
      <c r="E1527" s="138"/>
      <c r="F1527" s="138"/>
      <c r="G1527" s="138"/>
      <c r="H1527" s="67">
        <f>+Table_1[[#This Row],[Column7]]+Table_1[[#This Row],[Column6]]+Table_1[[#This Row],[Column5]]+Table_1[[#This Row],[Column4]]</f>
        <v>0</v>
      </c>
      <c r="I1527" s="38">
        <v>1500000</v>
      </c>
      <c r="J1527" s="34">
        <f>'PACC GENERAL 2026'!$I1527*'PACC GENERAL 2026'!$H1527</f>
        <v>0</v>
      </c>
      <c r="K1527" s="40"/>
      <c r="L1527" s="36"/>
      <c r="M1527" s="36"/>
      <c r="N1527" s="36"/>
      <c r="O1527" s="37"/>
    </row>
    <row r="1528" spans="1:16" s="287" customFormat="1" ht="15.5">
      <c r="A1528" s="47" t="s">
        <v>364</v>
      </c>
      <c r="B1528" s="10"/>
      <c r="C1528" s="10"/>
      <c r="D1528" s="152"/>
      <c r="E1528" s="152"/>
      <c r="F1528" s="152"/>
      <c r="G1528" s="152"/>
      <c r="H1528" s="109"/>
      <c r="I1528" s="44"/>
      <c r="J1528" s="12"/>
      <c r="K1528" s="13">
        <f>SUM(J1518:J1527)</f>
        <v>35138600</v>
      </c>
      <c r="L1528" s="10"/>
      <c r="M1528" s="10"/>
      <c r="N1528" s="10"/>
      <c r="O1528" s="74"/>
      <c r="P1528" s="278"/>
    </row>
    <row r="1529" spans="1:16" ht="15.5">
      <c r="A1529" s="31" t="s">
        <v>58</v>
      </c>
      <c r="B1529" s="33" t="s">
        <v>348</v>
      </c>
      <c r="C1529" s="32" t="s">
        <v>94</v>
      </c>
      <c r="D1529" s="133"/>
      <c r="E1529" s="133"/>
      <c r="F1529" s="133"/>
      <c r="G1529" s="133"/>
      <c r="H1529" s="67">
        <f>+Table_1[[#This Row],[Column7]]+Table_1[[#This Row],[Column6]]+Table_1[[#This Row],[Column5]]+Table_1[[#This Row],[Column4]]</f>
        <v>0</v>
      </c>
      <c r="I1529" s="38">
        <v>2100000</v>
      </c>
      <c r="J1529" s="17">
        <f>'PACC GENERAL 2026'!$I1529*'PACC GENERAL 2026'!$H1529</f>
        <v>0</v>
      </c>
      <c r="K1529" s="35"/>
      <c r="L1529" s="33"/>
      <c r="M1529" s="33"/>
      <c r="N1529" s="64"/>
      <c r="O1529" s="32"/>
      <c r="P1529" s="97"/>
    </row>
    <row r="1530" spans="1:16" s="97" customFormat="1" ht="15.5">
      <c r="A1530" s="31" t="s">
        <v>58</v>
      </c>
      <c r="B1530" s="33" t="s">
        <v>349</v>
      </c>
      <c r="C1530" s="32" t="s">
        <v>94</v>
      </c>
      <c r="D1530" s="133">
        <v>20</v>
      </c>
      <c r="E1530" s="133">
        <v>20</v>
      </c>
      <c r="F1530" s="133">
        <v>40</v>
      </c>
      <c r="G1530" s="137"/>
      <c r="H1530" s="67">
        <f>+Table_1[[#This Row],[Column7]]+Table_1[[#This Row],[Column6]]+Table_1[[#This Row],[Column5]]+Table_1[[#This Row],[Column4]]</f>
        <v>80</v>
      </c>
      <c r="I1530" s="38">
        <v>80000</v>
      </c>
      <c r="J1530" s="34">
        <f>'PACC GENERAL 2026'!$I1530*'PACC GENERAL 2026'!$H1530</f>
        <v>6400000</v>
      </c>
      <c r="K1530" s="35"/>
      <c r="L1530" s="33"/>
      <c r="M1530" s="33"/>
      <c r="N1530" s="64"/>
      <c r="O1530" s="32" t="s">
        <v>1003</v>
      </c>
    </row>
    <row r="1531" spans="1:16" s="97" customFormat="1" ht="15.5">
      <c r="A1531" s="31" t="s">
        <v>58</v>
      </c>
      <c r="B1531" s="33" t="s">
        <v>659</v>
      </c>
      <c r="C1531" s="32" t="s">
        <v>94</v>
      </c>
      <c r="D1531" s="133">
        <v>5</v>
      </c>
      <c r="E1531" s="133">
        <v>1</v>
      </c>
      <c r="F1531" s="133"/>
      <c r="G1531" s="133"/>
      <c r="H1531" s="67">
        <f>+Table_1[[#This Row],[Column7]]+Table_1[[#This Row],[Column6]]+Table_1[[#This Row],[Column5]]+Table_1[[#This Row],[Column4]]</f>
        <v>6</v>
      </c>
      <c r="I1531" s="38">
        <v>22000</v>
      </c>
      <c r="J1531" s="34">
        <f>'PACC GENERAL 2026'!$I1531*'PACC GENERAL 2026'!$H1531</f>
        <v>132000</v>
      </c>
      <c r="K1531" s="35"/>
      <c r="L1531" s="33"/>
      <c r="M1531" s="33"/>
      <c r="N1531" s="64"/>
      <c r="O1531" s="32" t="s">
        <v>1003</v>
      </c>
      <c r="P1531" s="320"/>
    </row>
    <row r="1532" spans="1:16" s="97" customFormat="1" ht="15.5">
      <c r="A1532" s="31" t="s">
        <v>58</v>
      </c>
      <c r="B1532" s="33" t="s">
        <v>388</v>
      </c>
      <c r="C1532" s="32" t="s">
        <v>94</v>
      </c>
      <c r="D1532" s="133">
        <v>1</v>
      </c>
      <c r="E1532" s="133">
        <f>1-1</f>
        <v>0</v>
      </c>
      <c r="F1532" s="133"/>
      <c r="G1532" s="133"/>
      <c r="H1532" s="67">
        <f>+Table_1[[#This Row],[Column7]]+Table_1[[#This Row],[Column6]]+Table_1[[#This Row],[Column5]]+Table_1[[#This Row],[Column4]]</f>
        <v>1</v>
      </c>
      <c r="I1532" s="38">
        <v>25000</v>
      </c>
      <c r="J1532" s="17">
        <f>'PACC GENERAL 2026'!$I1532*'PACC GENERAL 2026'!$H1532</f>
        <v>25000</v>
      </c>
      <c r="K1532" s="35"/>
      <c r="L1532" s="33"/>
      <c r="M1532" s="33"/>
      <c r="N1532" s="64"/>
      <c r="O1532" s="32" t="s">
        <v>434</v>
      </c>
    </row>
    <row r="1533" spans="1:16" s="97" customFormat="1" ht="15.5">
      <c r="A1533" s="31" t="s">
        <v>58</v>
      </c>
      <c r="B1533" s="38" t="s">
        <v>379</v>
      </c>
      <c r="C1533" s="32" t="s">
        <v>94</v>
      </c>
      <c r="D1533" s="133"/>
      <c r="E1533" s="133"/>
      <c r="F1533" s="133">
        <v>1</v>
      </c>
      <c r="G1533" s="133"/>
      <c r="H1533" s="67">
        <f>+Table_1[[#This Row],[Column7]]+Table_1[[#This Row],[Column6]]+Table_1[[#This Row],[Column5]]+Table_1[[#This Row],[Column4]]</f>
        <v>1</v>
      </c>
      <c r="I1533" s="38">
        <v>25068000</v>
      </c>
      <c r="J1533" s="17">
        <f>'PACC GENERAL 2026'!$I1533*'PACC GENERAL 2026'!$H1533</f>
        <v>25068000</v>
      </c>
      <c r="K1533" s="35"/>
      <c r="L1533" s="33"/>
      <c r="M1533" s="33"/>
      <c r="N1533" s="64"/>
      <c r="O1533" s="32" t="s">
        <v>1003</v>
      </c>
    </row>
    <row r="1534" spans="1:16" s="97" customFormat="1" ht="15.5">
      <c r="A1534" s="31" t="s">
        <v>58</v>
      </c>
      <c r="B1534" s="36" t="s">
        <v>378</v>
      </c>
      <c r="C1534" s="32" t="s">
        <v>94</v>
      </c>
      <c r="D1534" s="133"/>
      <c r="E1534" s="133"/>
      <c r="F1534" s="133"/>
      <c r="G1534" s="133"/>
      <c r="H1534" s="67">
        <f>+Table_1[[#This Row],[Column7]]+Table_1[[#This Row],[Column6]]+Table_1[[#This Row],[Column5]]+Table_1[[#This Row],[Column4]]</f>
        <v>0</v>
      </c>
      <c r="I1534" s="38">
        <v>1050000</v>
      </c>
      <c r="J1534" s="17">
        <f>'PACC GENERAL 2026'!$I1534*'PACC GENERAL 2026'!$H1534</f>
        <v>0</v>
      </c>
      <c r="K1534" s="35"/>
      <c r="L1534" s="33"/>
      <c r="M1534" s="33"/>
      <c r="N1534" s="64"/>
      <c r="O1534" s="32"/>
    </row>
    <row r="1535" spans="1:16" s="97" customFormat="1" ht="15.5">
      <c r="A1535" s="9" t="s">
        <v>58</v>
      </c>
      <c r="B1535" s="10" t="s">
        <v>117</v>
      </c>
      <c r="C1535" s="10"/>
      <c r="D1535" s="152"/>
      <c r="E1535" s="152"/>
      <c r="F1535" s="152"/>
      <c r="G1535" s="152"/>
      <c r="H1535" s="152"/>
      <c r="I1535" s="44"/>
      <c r="J1535" s="12"/>
      <c r="K1535" s="13">
        <f>SUM(J1529:J1534)</f>
        <v>31625000</v>
      </c>
      <c r="L1535" s="10"/>
      <c r="M1535" s="10"/>
      <c r="N1535" s="10"/>
      <c r="O1535" s="74"/>
      <c r="P1535" s="278"/>
    </row>
    <row r="1536" spans="1:16" ht="31">
      <c r="A1536" s="31" t="s">
        <v>59</v>
      </c>
      <c r="B1536" s="31" t="s">
        <v>1685</v>
      </c>
      <c r="C1536" s="32" t="s">
        <v>98</v>
      </c>
      <c r="D1536" s="133">
        <v>1</v>
      </c>
      <c r="E1536" s="133">
        <v>1</v>
      </c>
      <c r="F1536" s="133">
        <v>1</v>
      </c>
      <c r="G1536" s="133">
        <v>1</v>
      </c>
      <c r="H1536" s="67">
        <f>+Table_1[[#This Row],[Column7]]+Table_1[[#This Row],[Column6]]+Table_1[[#This Row],[Column5]]+Table_1[[#This Row],[Column4]]</f>
        <v>4</v>
      </c>
      <c r="I1536" s="38">
        <v>1800000</v>
      </c>
      <c r="J1536" s="34">
        <f>'PACC GENERAL 2026'!$I1536*'PACC GENERAL 2026'!$H1536</f>
        <v>7200000</v>
      </c>
      <c r="K1536" s="35"/>
      <c r="L1536" s="33"/>
      <c r="M1536" s="33"/>
      <c r="N1536" s="64"/>
      <c r="O1536" s="32" t="s">
        <v>434</v>
      </c>
      <c r="P1536" s="97"/>
    </row>
    <row r="1537" spans="1:16" s="97" customFormat="1" ht="31">
      <c r="A1537" s="31" t="s">
        <v>59</v>
      </c>
      <c r="B1537" s="31" t="s">
        <v>350</v>
      </c>
      <c r="C1537" s="32" t="s">
        <v>98</v>
      </c>
      <c r="D1537" s="133"/>
      <c r="E1537" s="133"/>
      <c r="F1537" s="133"/>
      <c r="G1537" s="133"/>
      <c r="H1537" s="67">
        <f>+Table_1[[#This Row],[Column7]]+Table_1[[#This Row],[Column6]]+Table_1[[#This Row],[Column5]]+Table_1[[#This Row],[Column4]]</f>
        <v>0</v>
      </c>
      <c r="I1537" s="38">
        <v>1000000</v>
      </c>
      <c r="J1537" s="34">
        <f>'PACC GENERAL 2026'!$I1537*'PACC GENERAL 2026'!$H1537</f>
        <v>0</v>
      </c>
      <c r="K1537" s="35"/>
      <c r="L1537" s="33"/>
      <c r="M1537" s="33"/>
      <c r="N1537" s="33"/>
      <c r="O1537" s="75"/>
    </row>
    <row r="1538" spans="1:16" s="97" customFormat="1" ht="31">
      <c r="A1538" s="9" t="s">
        <v>59</v>
      </c>
      <c r="B1538" s="10"/>
      <c r="C1538" s="10"/>
      <c r="D1538" s="152"/>
      <c r="E1538" s="152"/>
      <c r="F1538" s="152"/>
      <c r="G1538" s="152"/>
      <c r="H1538" s="152"/>
      <c r="I1538" s="44"/>
      <c r="J1538" s="12"/>
      <c r="K1538" s="13">
        <f>SUM(J1536:J1537)</f>
        <v>7200000</v>
      </c>
      <c r="L1538" s="10"/>
      <c r="M1538" s="10"/>
      <c r="N1538" s="10"/>
      <c r="O1538" s="74"/>
      <c r="P1538" s="278"/>
    </row>
    <row r="1539" spans="1:16" ht="45" customHeight="1">
      <c r="A1539" s="36" t="s">
        <v>873</v>
      </c>
      <c r="B1539" s="36" t="s">
        <v>841</v>
      </c>
      <c r="C1539" s="37" t="s">
        <v>94</v>
      </c>
      <c r="D1539" s="138"/>
      <c r="E1539" s="213"/>
      <c r="F1539" s="138"/>
      <c r="G1539" s="138"/>
      <c r="H1539" s="67">
        <f>+Table_1[[#This Row],[Column7]]+Table_1[[#This Row],[Column6]]+Table_1[[#This Row],[Column5]]+Table_1[[#This Row],[Column4]]</f>
        <v>0</v>
      </c>
      <c r="I1539" s="38">
        <v>8000000</v>
      </c>
      <c r="J1539" s="39">
        <f>'PACC GENERAL 2026'!$I1539*'PACC GENERAL 2026'!$H1539</f>
        <v>0</v>
      </c>
      <c r="K1539" s="40"/>
      <c r="L1539" s="36"/>
      <c r="M1539" s="36"/>
      <c r="N1539" s="37"/>
      <c r="O1539" s="37"/>
      <c r="P1539" s="323"/>
    </row>
    <row r="1540" spans="1:16" s="287" customFormat="1" ht="22" customHeight="1">
      <c r="A1540" s="31" t="s">
        <v>752</v>
      </c>
      <c r="B1540" s="31" t="s">
        <v>653</v>
      </c>
      <c r="C1540" s="32" t="s">
        <v>94</v>
      </c>
      <c r="D1540" s="133"/>
      <c r="E1540" s="133"/>
      <c r="F1540" s="151"/>
      <c r="G1540" s="133"/>
      <c r="H1540" s="67">
        <f>+Table_1[[#This Row],[Column7]]+Table_1[[#This Row],[Column6]]+Table_1[[#This Row],[Column5]]+Table_1[[#This Row],[Column4]]</f>
        <v>0</v>
      </c>
      <c r="I1540" s="38">
        <v>16000000</v>
      </c>
      <c r="J1540" s="34">
        <f>'PACC GENERAL 2026'!$I1540*'PACC GENERAL 2026'!$H1540</f>
        <v>0</v>
      </c>
      <c r="K1540" s="35"/>
      <c r="L1540" s="31"/>
      <c r="M1540" s="31"/>
      <c r="N1540" s="31"/>
      <c r="O1540" s="32"/>
      <c r="P1540" s="97"/>
    </row>
    <row r="1541" spans="1:16" s="97" customFormat="1" ht="15.5">
      <c r="A1541" s="9" t="s">
        <v>752</v>
      </c>
      <c r="B1541" s="10"/>
      <c r="C1541" s="10"/>
      <c r="D1541" s="152"/>
      <c r="E1541" s="152"/>
      <c r="F1541" s="152"/>
      <c r="G1541" s="152"/>
      <c r="H1541" s="109"/>
      <c r="I1541" s="44"/>
      <c r="J1541" s="12"/>
      <c r="K1541" s="13">
        <f>SUM(J1539:J1540)</f>
        <v>0</v>
      </c>
      <c r="L1541" s="10"/>
      <c r="M1541" s="10"/>
      <c r="N1541" s="10"/>
      <c r="O1541" s="74"/>
      <c r="P1541" s="278"/>
    </row>
    <row r="1542" spans="1:16" ht="29.25" customHeight="1">
      <c r="A1542" s="31" t="s">
        <v>389</v>
      </c>
      <c r="B1542" s="36" t="s">
        <v>386</v>
      </c>
      <c r="C1542" s="32" t="s">
        <v>94</v>
      </c>
      <c r="D1542" s="133"/>
      <c r="E1542" s="133"/>
      <c r="F1542" s="151"/>
      <c r="G1542" s="133"/>
      <c r="H1542" s="67">
        <f>+Table_1[[#This Row],[Column7]]+Table_1[[#This Row],[Column6]]+Table_1[[#This Row],[Column5]]+Table_1[[#This Row],[Column4]]</f>
        <v>0</v>
      </c>
      <c r="I1542" s="38">
        <v>975000</v>
      </c>
      <c r="J1542" s="34">
        <f>'PACC GENERAL 2026'!$I1542*'PACC GENERAL 2026'!$H1542</f>
        <v>0</v>
      </c>
      <c r="K1542" s="35"/>
      <c r="L1542" s="31"/>
      <c r="M1542" s="31"/>
      <c r="N1542" s="31"/>
      <c r="O1542" s="32"/>
      <c r="P1542" s="97"/>
    </row>
    <row r="1543" spans="1:16" s="97" customFormat="1" ht="25.5" customHeight="1">
      <c r="A1543" s="9" t="s">
        <v>389</v>
      </c>
      <c r="B1543" s="10"/>
      <c r="C1543" s="10"/>
      <c r="D1543" s="152"/>
      <c r="E1543" s="152"/>
      <c r="F1543" s="152"/>
      <c r="G1543" s="152"/>
      <c r="H1543" s="109"/>
      <c r="I1543" s="44"/>
      <c r="J1543" s="12"/>
      <c r="K1543" s="13">
        <f>SUM(J1542)</f>
        <v>0</v>
      </c>
      <c r="L1543" s="10"/>
      <c r="M1543" s="10"/>
      <c r="N1543" s="10"/>
      <c r="O1543" s="74"/>
      <c r="P1543" s="278"/>
    </row>
    <row r="1544" spans="1:16" ht="15.75" customHeight="1">
      <c r="A1544" s="36" t="s">
        <v>60</v>
      </c>
      <c r="B1544" s="36" t="s">
        <v>664</v>
      </c>
      <c r="C1544" s="37" t="s">
        <v>94</v>
      </c>
      <c r="D1544" s="138"/>
      <c r="E1544" s="138"/>
      <c r="F1544" s="151"/>
      <c r="G1544" s="138"/>
      <c r="H1544" s="67">
        <f>+Table_1[[#This Row],[Column7]]+Table_1[[#This Row],[Column6]]+Table_1[[#This Row],[Column5]]+Table_1[[#This Row],[Column4]]</f>
        <v>0</v>
      </c>
      <c r="I1544" s="38">
        <v>18000</v>
      </c>
      <c r="J1544" s="39">
        <f>'PACC GENERAL 2026'!$I1544*'PACC GENERAL 2026'!$H1544</f>
        <v>0</v>
      </c>
      <c r="K1544" s="40"/>
      <c r="L1544" s="36"/>
      <c r="M1544" s="36"/>
      <c r="N1544" s="37"/>
      <c r="O1544" s="37"/>
      <c r="P1544" s="323"/>
    </row>
    <row r="1545" spans="1:16" s="287" customFormat="1" ht="15.75" customHeight="1">
      <c r="A1545" s="36" t="s">
        <v>60</v>
      </c>
      <c r="B1545" s="36" t="s">
        <v>713</v>
      </c>
      <c r="C1545" s="37" t="s">
        <v>94</v>
      </c>
      <c r="D1545" s="138"/>
      <c r="E1545" s="138"/>
      <c r="F1545" s="151"/>
      <c r="G1545" s="138"/>
      <c r="H1545" s="67">
        <f>+Table_1[[#This Row],[Column7]]+Table_1[[#This Row],[Column6]]+Table_1[[#This Row],[Column5]]+Table_1[[#This Row],[Column4]]</f>
        <v>0</v>
      </c>
      <c r="I1545" s="38">
        <v>245000</v>
      </c>
      <c r="J1545" s="39">
        <f>'PACC GENERAL 2026'!$I1545*'PACC GENERAL 2026'!$H1545</f>
        <v>0</v>
      </c>
      <c r="K1545" s="40"/>
      <c r="L1545" s="36"/>
      <c r="M1545" s="36"/>
      <c r="N1545" s="37"/>
      <c r="O1545" s="37"/>
      <c r="P1545" s="323"/>
    </row>
    <row r="1546" spans="1:16" s="287" customFormat="1" ht="15.75" customHeight="1">
      <c r="A1546" s="36" t="s">
        <v>60</v>
      </c>
      <c r="B1546" s="36" t="s">
        <v>425</v>
      </c>
      <c r="C1546" s="37" t="s">
        <v>94</v>
      </c>
      <c r="D1546" s="138"/>
      <c r="E1546" s="138">
        <v>6</v>
      </c>
      <c r="F1546" s="151"/>
      <c r="G1546" s="138"/>
      <c r="H1546" s="67">
        <f>+Table_1[[#This Row],[Column7]]+Table_1[[#This Row],[Column6]]+Table_1[[#This Row],[Column5]]+Table_1[[#This Row],[Column4]]</f>
        <v>6</v>
      </c>
      <c r="I1546" s="38">
        <v>25000</v>
      </c>
      <c r="J1546" s="39">
        <f>'PACC GENERAL 2026'!$I1546*'PACC GENERAL 2026'!$H1546</f>
        <v>150000</v>
      </c>
      <c r="K1546" s="40"/>
      <c r="L1546" s="36"/>
      <c r="M1546" s="36"/>
      <c r="N1546" s="37"/>
      <c r="O1546" s="37" t="s">
        <v>1004</v>
      </c>
      <c r="P1546" s="323"/>
    </row>
    <row r="1547" spans="1:16" s="287" customFormat="1" ht="15.75" customHeight="1">
      <c r="A1547" s="36" t="s">
        <v>60</v>
      </c>
      <c r="B1547" s="36" t="s">
        <v>1009</v>
      </c>
      <c r="C1547" s="37" t="s">
        <v>94</v>
      </c>
      <c r="D1547" s="138"/>
      <c r="E1547" s="138">
        <v>1</v>
      </c>
      <c r="F1547" s="151"/>
      <c r="G1547" s="138"/>
      <c r="H1547" s="67">
        <f>+Table_1[[#This Row],[Column7]]+Table_1[[#This Row],[Column6]]+Table_1[[#This Row],[Column5]]+Table_1[[#This Row],[Column4]]</f>
        <v>1</v>
      </c>
      <c r="I1547" s="38">
        <v>450000</v>
      </c>
      <c r="J1547" s="39">
        <f>'PACC GENERAL 2026'!$I1547*'PACC GENERAL 2026'!$H1547</f>
        <v>450000</v>
      </c>
      <c r="K1547" s="40"/>
      <c r="L1547" s="36"/>
      <c r="M1547" s="36"/>
      <c r="N1547" s="37"/>
      <c r="O1547" s="37" t="s">
        <v>1004</v>
      </c>
      <c r="P1547" s="323"/>
    </row>
    <row r="1548" spans="1:16" s="287" customFormat="1" ht="15.75" customHeight="1">
      <c r="A1548" s="36" t="s">
        <v>60</v>
      </c>
      <c r="B1548" s="36" t="s">
        <v>1010</v>
      </c>
      <c r="C1548" s="37" t="s">
        <v>94</v>
      </c>
      <c r="D1548" s="138"/>
      <c r="E1548" s="138">
        <v>1</v>
      </c>
      <c r="F1548" s="151"/>
      <c r="G1548" s="138"/>
      <c r="H1548" s="67">
        <f>+Table_1[[#This Row],[Column7]]+Table_1[[#This Row],[Column6]]+Table_1[[#This Row],[Column5]]+Table_1[[#This Row],[Column4]]</f>
        <v>1</v>
      </c>
      <c r="I1548" s="38">
        <v>300000</v>
      </c>
      <c r="J1548" s="39">
        <f>'PACC GENERAL 2026'!$I1548*'PACC GENERAL 2026'!$H1548</f>
        <v>300000</v>
      </c>
      <c r="K1548" s="40"/>
      <c r="L1548" s="36"/>
      <c r="M1548" s="36"/>
      <c r="N1548" s="37"/>
      <c r="O1548" s="37" t="s">
        <v>1004</v>
      </c>
      <c r="P1548" s="323"/>
    </row>
    <row r="1549" spans="1:16" s="287" customFormat="1" ht="15.75" customHeight="1">
      <c r="A1549" s="36" t="s">
        <v>60</v>
      </c>
      <c r="B1549" s="36" t="s">
        <v>1011</v>
      </c>
      <c r="C1549" s="37" t="s">
        <v>94</v>
      </c>
      <c r="D1549" s="138"/>
      <c r="E1549" s="138">
        <v>8</v>
      </c>
      <c r="F1549" s="151"/>
      <c r="G1549" s="138"/>
      <c r="H1549" s="67">
        <f>+Table_1[[#This Row],[Column7]]+Table_1[[#This Row],[Column6]]+Table_1[[#This Row],[Column5]]+Table_1[[#This Row],[Column4]]</f>
        <v>8</v>
      </c>
      <c r="I1549" s="38">
        <v>65000</v>
      </c>
      <c r="J1549" s="39">
        <f>'PACC GENERAL 2026'!$I1549*'PACC GENERAL 2026'!$H1549</f>
        <v>520000</v>
      </c>
      <c r="K1549" s="40"/>
      <c r="L1549" s="36"/>
      <c r="M1549" s="36"/>
      <c r="N1549" s="37"/>
      <c r="O1549" s="37" t="s">
        <v>1004</v>
      </c>
      <c r="P1549" s="323"/>
    </row>
    <row r="1550" spans="1:16" s="287" customFormat="1" ht="15.75" customHeight="1">
      <c r="A1550" s="36" t="s">
        <v>60</v>
      </c>
      <c r="B1550" s="36" t="s">
        <v>1221</v>
      </c>
      <c r="C1550" s="37" t="s">
        <v>94</v>
      </c>
      <c r="D1550" s="138"/>
      <c r="E1550" s="138">
        <v>1</v>
      </c>
      <c r="F1550" s="151"/>
      <c r="G1550" s="138"/>
      <c r="H1550" s="67">
        <f>+Table_1[[#This Row],[Column7]]+Table_1[[#This Row],[Column6]]+Table_1[[#This Row],[Column5]]+Table_1[[#This Row],[Column4]]</f>
        <v>1</v>
      </c>
      <c r="I1550" s="38">
        <v>100000</v>
      </c>
      <c r="J1550" s="39">
        <f>'PACC GENERAL 2026'!$I1550*'PACC GENERAL 2026'!$H1550</f>
        <v>100000</v>
      </c>
      <c r="K1550" s="40"/>
      <c r="L1550" s="36"/>
      <c r="M1550" s="36"/>
      <c r="N1550" s="37"/>
      <c r="O1550" s="37" t="s">
        <v>1220</v>
      </c>
      <c r="P1550" s="323"/>
    </row>
    <row r="1551" spans="1:16" s="287" customFormat="1" ht="15.75" customHeight="1">
      <c r="A1551" s="36" t="s">
        <v>60</v>
      </c>
      <c r="B1551" s="36" t="s">
        <v>704</v>
      </c>
      <c r="C1551" s="37" t="s">
        <v>94</v>
      </c>
      <c r="D1551" s="138"/>
      <c r="E1551" s="138"/>
      <c r="F1551" s="151"/>
      <c r="G1551" s="138"/>
      <c r="H1551" s="67">
        <f>+Table_1[[#This Row],[Column7]]+Table_1[[#This Row],[Column6]]+Table_1[[#This Row],[Column5]]+Table_1[[#This Row],[Column4]]</f>
        <v>0</v>
      </c>
      <c r="I1551" s="38">
        <v>104076</v>
      </c>
      <c r="J1551" s="39">
        <f>'PACC GENERAL 2026'!$I1551*'PACC GENERAL 2026'!$H1551</f>
        <v>0</v>
      </c>
      <c r="K1551" s="40"/>
      <c r="M1551" s="36"/>
      <c r="N1551" s="37"/>
      <c r="O1551" s="187" t="s">
        <v>1338</v>
      </c>
      <c r="P1551" s="323"/>
    </row>
    <row r="1552" spans="1:16" s="287" customFormat="1" ht="15.75" customHeight="1">
      <c r="A1552" s="36" t="s">
        <v>60</v>
      </c>
      <c r="B1552" s="36" t="s">
        <v>425</v>
      </c>
      <c r="C1552" s="37" t="s">
        <v>94</v>
      </c>
      <c r="D1552" s="138"/>
      <c r="E1552" s="138">
        <v>6</v>
      </c>
      <c r="F1552" s="151"/>
      <c r="G1552" s="138"/>
      <c r="H1552" s="67">
        <f>+Table_1[[#This Row],[Column7]]+Table_1[[#This Row],[Column6]]+Table_1[[#This Row],[Column5]]+Table_1[[#This Row],[Column4]]</f>
        <v>6</v>
      </c>
      <c r="I1552" s="38">
        <v>25000</v>
      </c>
      <c r="J1552" s="39">
        <f>'PACC GENERAL 2026'!$I1552*'PACC GENERAL 2026'!$H1552</f>
        <v>150000</v>
      </c>
      <c r="K1552" s="40"/>
      <c r="L1552" s="36"/>
      <c r="M1552" s="175"/>
      <c r="N1552" s="187"/>
      <c r="O1552" s="187" t="s">
        <v>1338</v>
      </c>
      <c r="P1552" s="323"/>
    </row>
    <row r="1553" spans="1:16" s="287" customFormat="1" ht="15.75" customHeight="1">
      <c r="A1553" s="36" t="s">
        <v>60</v>
      </c>
      <c r="B1553" s="36" t="s">
        <v>1009</v>
      </c>
      <c r="C1553" s="37" t="s">
        <v>94</v>
      </c>
      <c r="D1553" s="138"/>
      <c r="E1553" s="138">
        <v>1</v>
      </c>
      <c r="F1553" s="151"/>
      <c r="G1553" s="138"/>
      <c r="H1553" s="67">
        <f>+Table_1[[#This Row],[Column7]]+Table_1[[#This Row],[Column6]]+Table_1[[#This Row],[Column5]]+Table_1[[#This Row],[Column4]]</f>
        <v>1</v>
      </c>
      <c r="I1553" s="38">
        <v>450000</v>
      </c>
      <c r="J1553" s="39">
        <f>'PACC GENERAL 2026'!$I1553*'PACC GENERAL 2026'!$H1553</f>
        <v>450000</v>
      </c>
      <c r="K1553" s="40"/>
      <c r="L1553" s="36"/>
      <c r="M1553" s="55"/>
      <c r="N1553" s="123"/>
      <c r="O1553" s="187" t="s">
        <v>1338</v>
      </c>
      <c r="P1553" s="323"/>
    </row>
    <row r="1554" spans="1:16" s="287" customFormat="1" ht="15.75" customHeight="1">
      <c r="A1554" s="36" t="s">
        <v>60</v>
      </c>
      <c r="B1554" s="36" t="s">
        <v>1010</v>
      </c>
      <c r="C1554" s="37" t="s">
        <v>94</v>
      </c>
      <c r="D1554" s="138"/>
      <c r="E1554" s="138">
        <v>1</v>
      </c>
      <c r="F1554" s="151"/>
      <c r="G1554" s="138"/>
      <c r="H1554" s="67">
        <f>+Table_1[[#This Row],[Column7]]+Table_1[[#This Row],[Column6]]+Table_1[[#This Row],[Column5]]+Table_1[[#This Row],[Column4]]</f>
        <v>1</v>
      </c>
      <c r="I1554" s="38">
        <v>300000</v>
      </c>
      <c r="J1554" s="39">
        <f>'PACC GENERAL 2026'!$I1554*'PACC GENERAL 2026'!$H1554</f>
        <v>300000</v>
      </c>
      <c r="K1554" s="40"/>
      <c r="L1554" s="36"/>
      <c r="M1554" s="55"/>
      <c r="N1554" s="123"/>
      <c r="O1554" s="187" t="s">
        <v>1338</v>
      </c>
      <c r="P1554" s="323"/>
    </row>
    <row r="1555" spans="1:16" s="287" customFormat="1" ht="15.75" customHeight="1">
      <c r="A1555" s="36" t="s">
        <v>60</v>
      </c>
      <c r="B1555" s="36" t="s">
        <v>1011</v>
      </c>
      <c r="C1555" s="37" t="s">
        <v>94</v>
      </c>
      <c r="D1555" s="138"/>
      <c r="E1555" s="138">
        <v>8</v>
      </c>
      <c r="F1555" s="151"/>
      <c r="G1555" s="138"/>
      <c r="H1555" s="67">
        <f>+Table_1[[#This Row],[Column7]]+Table_1[[#This Row],[Column6]]+Table_1[[#This Row],[Column5]]+Table_1[[#This Row],[Column4]]</f>
        <v>8</v>
      </c>
      <c r="I1555" s="38">
        <v>65000</v>
      </c>
      <c r="J1555" s="39">
        <f>'PACC GENERAL 2026'!$I1555*'PACC GENERAL 2026'!$H1555</f>
        <v>520000</v>
      </c>
      <c r="K1555" s="40"/>
      <c r="L1555" s="36"/>
      <c r="M1555" s="55"/>
      <c r="N1555" s="123"/>
      <c r="O1555" s="187" t="s">
        <v>1338</v>
      </c>
      <c r="P1555" s="323"/>
    </row>
    <row r="1556" spans="1:16" s="287" customFormat="1" ht="15.75" customHeight="1">
      <c r="A1556" s="36" t="s">
        <v>60</v>
      </c>
      <c r="B1556" s="36" t="s">
        <v>1315</v>
      </c>
      <c r="C1556" s="37" t="s">
        <v>94</v>
      </c>
      <c r="D1556" s="138"/>
      <c r="E1556" s="138">
        <v>3</v>
      </c>
      <c r="F1556" s="151"/>
      <c r="G1556" s="138"/>
      <c r="H1556" s="67">
        <f>+Table_1[[#This Row],[Column7]]+Table_1[[#This Row],[Column6]]+Table_1[[#This Row],[Column5]]+Table_1[[#This Row],[Column4]]</f>
        <v>3</v>
      </c>
      <c r="I1556" s="38">
        <v>14000</v>
      </c>
      <c r="J1556" s="39">
        <f>'PACC GENERAL 2026'!$I1556*'PACC GENERAL 2026'!$H1556</f>
        <v>42000</v>
      </c>
      <c r="K1556" s="40"/>
      <c r="L1556" s="36"/>
      <c r="M1556" s="55"/>
      <c r="N1556" s="123"/>
      <c r="O1556" s="187" t="s">
        <v>1338</v>
      </c>
      <c r="P1556" s="323"/>
    </row>
    <row r="1557" spans="1:16" s="287" customFormat="1" ht="15.75" customHeight="1">
      <c r="A1557" s="36" t="s">
        <v>60</v>
      </c>
      <c r="B1557" s="36" t="s">
        <v>1316</v>
      </c>
      <c r="C1557" s="37" t="s">
        <v>94</v>
      </c>
      <c r="D1557" s="138"/>
      <c r="E1557" s="138">
        <v>10</v>
      </c>
      <c r="F1557" s="151"/>
      <c r="G1557" s="138"/>
      <c r="H1557" s="67">
        <f>+Table_1[[#This Row],[Column7]]+Table_1[[#This Row],[Column6]]+Table_1[[#This Row],[Column5]]+Table_1[[#This Row],[Column4]]</f>
        <v>10</v>
      </c>
      <c r="I1557" s="38">
        <v>7500</v>
      </c>
      <c r="J1557" s="39">
        <f>'PACC GENERAL 2026'!$I1557*'PACC GENERAL 2026'!$H1557</f>
        <v>75000</v>
      </c>
      <c r="K1557" s="40"/>
      <c r="L1557" s="36"/>
      <c r="M1557" s="55"/>
      <c r="N1557" s="123"/>
      <c r="O1557" s="187" t="s">
        <v>1338</v>
      </c>
      <c r="P1557" s="323"/>
    </row>
    <row r="1558" spans="1:16" s="287" customFormat="1" ht="15.75" customHeight="1">
      <c r="A1558" s="36" t="s">
        <v>60</v>
      </c>
      <c r="B1558" s="36" t="s">
        <v>1317</v>
      </c>
      <c r="C1558" s="37" t="s">
        <v>94</v>
      </c>
      <c r="D1558" s="138"/>
      <c r="E1558" s="138">
        <v>10</v>
      </c>
      <c r="F1558" s="151"/>
      <c r="G1558" s="138"/>
      <c r="H1558" s="67">
        <f>+Table_1[[#This Row],[Column7]]+Table_1[[#This Row],[Column6]]+Table_1[[#This Row],[Column5]]+Table_1[[#This Row],[Column4]]</f>
        <v>10</v>
      </c>
      <c r="I1558" s="38">
        <v>26000</v>
      </c>
      <c r="J1558" s="39">
        <f>'PACC GENERAL 2026'!$I1558*'PACC GENERAL 2026'!$H1558</f>
        <v>260000</v>
      </c>
      <c r="K1558" s="40"/>
      <c r="L1558" s="36"/>
      <c r="M1558" s="55"/>
      <c r="N1558" s="123"/>
      <c r="O1558" s="187" t="s">
        <v>1338</v>
      </c>
      <c r="P1558" s="323"/>
    </row>
    <row r="1559" spans="1:16" s="287" customFormat="1" ht="15.75" customHeight="1">
      <c r="A1559" s="36" t="s">
        <v>60</v>
      </c>
      <c r="B1559" s="36" t="s">
        <v>1318</v>
      </c>
      <c r="C1559" s="37" t="s">
        <v>94</v>
      </c>
      <c r="D1559" s="138"/>
      <c r="E1559" s="138">
        <v>10</v>
      </c>
      <c r="F1559" s="151"/>
      <c r="G1559" s="138"/>
      <c r="H1559" s="67">
        <f>+Table_1[[#This Row],[Column7]]+Table_1[[#This Row],[Column6]]+Table_1[[#This Row],[Column5]]+Table_1[[#This Row],[Column4]]</f>
        <v>10</v>
      </c>
      <c r="I1559" s="38">
        <v>21000</v>
      </c>
      <c r="J1559" s="39">
        <f>'PACC GENERAL 2026'!$I1559*'PACC GENERAL 2026'!$H1559</f>
        <v>210000</v>
      </c>
      <c r="K1559" s="40"/>
      <c r="L1559" s="36"/>
      <c r="M1559" s="55"/>
      <c r="N1559" s="123"/>
      <c r="O1559" s="187" t="s">
        <v>1338</v>
      </c>
      <c r="P1559" s="323"/>
    </row>
    <row r="1560" spans="1:16" s="287" customFormat="1" ht="15.75" customHeight="1">
      <c r="A1560" s="36" t="s">
        <v>60</v>
      </c>
      <c r="B1560" s="36" t="s">
        <v>1319</v>
      </c>
      <c r="C1560" s="37" t="s">
        <v>94</v>
      </c>
      <c r="D1560" s="138"/>
      <c r="E1560" s="138">
        <v>5</v>
      </c>
      <c r="F1560" s="151"/>
      <c r="G1560" s="138"/>
      <c r="H1560" s="67">
        <f>+Table_1[[#This Row],[Column7]]+Table_1[[#This Row],[Column6]]+Table_1[[#This Row],[Column5]]+Table_1[[#This Row],[Column4]]</f>
        <v>5</v>
      </c>
      <c r="I1560" s="38">
        <v>24000</v>
      </c>
      <c r="J1560" s="39">
        <f>'PACC GENERAL 2026'!$I1560*'PACC GENERAL 2026'!$H1560</f>
        <v>120000</v>
      </c>
      <c r="K1560" s="40"/>
      <c r="L1560" s="36"/>
      <c r="M1560" s="55"/>
      <c r="N1560" s="123"/>
      <c r="O1560" s="187" t="s">
        <v>1338</v>
      </c>
      <c r="P1560" s="323"/>
    </row>
    <row r="1561" spans="1:16" s="287" customFormat="1" ht="15.75" customHeight="1">
      <c r="A1561" s="36" t="s">
        <v>60</v>
      </c>
      <c r="B1561" s="36" t="s">
        <v>1320</v>
      </c>
      <c r="C1561" s="37" t="s">
        <v>94</v>
      </c>
      <c r="D1561" s="138"/>
      <c r="E1561" s="138">
        <v>5</v>
      </c>
      <c r="F1561" s="151"/>
      <c r="G1561" s="138"/>
      <c r="H1561" s="67">
        <f>+Table_1[[#This Row],[Column7]]+Table_1[[#This Row],[Column6]]+Table_1[[#This Row],[Column5]]+Table_1[[#This Row],[Column4]]</f>
        <v>5</v>
      </c>
      <c r="I1561" s="38">
        <v>23000</v>
      </c>
      <c r="J1561" s="39">
        <f>'PACC GENERAL 2026'!$I1561*'PACC GENERAL 2026'!$H1561</f>
        <v>115000</v>
      </c>
      <c r="K1561" s="40"/>
      <c r="L1561" s="36"/>
      <c r="M1561" s="55"/>
      <c r="N1561" s="123"/>
      <c r="O1561" s="187" t="s">
        <v>1338</v>
      </c>
      <c r="P1561" s="323"/>
    </row>
    <row r="1562" spans="1:16" s="287" customFormat="1" ht="15.75" customHeight="1">
      <c r="A1562" s="36" t="s">
        <v>60</v>
      </c>
      <c r="B1562" s="36" t="s">
        <v>1321</v>
      </c>
      <c r="C1562" s="37" t="s">
        <v>94</v>
      </c>
      <c r="D1562" s="138"/>
      <c r="E1562" s="138">
        <v>5</v>
      </c>
      <c r="F1562" s="151"/>
      <c r="G1562" s="138"/>
      <c r="H1562" s="67">
        <f>+Table_1[[#This Row],[Column7]]+Table_1[[#This Row],[Column6]]+Table_1[[#This Row],[Column5]]+Table_1[[#This Row],[Column4]]</f>
        <v>5</v>
      </c>
      <c r="I1562" s="38">
        <v>23000</v>
      </c>
      <c r="J1562" s="39">
        <f>'PACC GENERAL 2026'!$I1562*'PACC GENERAL 2026'!$H1562</f>
        <v>115000</v>
      </c>
      <c r="K1562" s="40"/>
      <c r="L1562" s="36"/>
      <c r="M1562" s="55"/>
      <c r="N1562" s="123"/>
      <c r="O1562" s="187" t="s">
        <v>1338</v>
      </c>
      <c r="P1562" s="323"/>
    </row>
    <row r="1563" spans="1:16" s="287" customFormat="1" ht="15.75" customHeight="1">
      <c r="A1563" s="36" t="s">
        <v>60</v>
      </c>
      <c r="B1563" s="36" t="s">
        <v>1322</v>
      </c>
      <c r="C1563" s="37" t="s">
        <v>94</v>
      </c>
      <c r="D1563" s="138"/>
      <c r="E1563" s="138">
        <v>5</v>
      </c>
      <c r="F1563" s="151"/>
      <c r="G1563" s="138"/>
      <c r="H1563" s="67">
        <f>+Table_1[[#This Row],[Column7]]+Table_1[[#This Row],[Column6]]+Table_1[[#This Row],[Column5]]+Table_1[[#This Row],[Column4]]</f>
        <v>5</v>
      </c>
      <c r="I1563" s="38">
        <v>23000</v>
      </c>
      <c r="J1563" s="39">
        <f>'PACC GENERAL 2026'!$I1563*'PACC GENERAL 2026'!$H1563</f>
        <v>115000</v>
      </c>
      <c r="K1563" s="40"/>
      <c r="L1563" s="36"/>
      <c r="M1563" s="36"/>
      <c r="N1563" s="37"/>
      <c r="O1563" s="187" t="s">
        <v>1338</v>
      </c>
      <c r="P1563" s="323"/>
    </row>
    <row r="1564" spans="1:16" s="287" customFormat="1" ht="15.75" customHeight="1">
      <c r="A1564" s="36" t="s">
        <v>60</v>
      </c>
      <c r="B1564" s="36" t="s">
        <v>1323</v>
      </c>
      <c r="C1564" s="37" t="s">
        <v>94</v>
      </c>
      <c r="D1564" s="195"/>
      <c r="E1564" s="195">
        <v>5</v>
      </c>
      <c r="F1564" s="200"/>
      <c r="G1564" s="138"/>
      <c r="H1564" s="67">
        <f>+Table_1[[#This Row],[Column7]]+Table_1[[#This Row],[Column6]]+Table_1[[#This Row],[Column5]]+Table_1[[#This Row],[Column4]]</f>
        <v>5</v>
      </c>
      <c r="I1564" s="38">
        <v>50000</v>
      </c>
      <c r="J1564" s="39">
        <f>'PACC GENERAL 2026'!$I1564*'PACC GENERAL 2026'!$H1564</f>
        <v>250000</v>
      </c>
      <c r="K1564" s="40"/>
      <c r="L1564" s="36"/>
      <c r="M1564" s="36"/>
      <c r="N1564" s="37"/>
      <c r="O1564" s="187" t="s">
        <v>1338</v>
      </c>
      <c r="P1564" s="323"/>
    </row>
    <row r="1565" spans="1:16" s="287" customFormat="1" ht="15.75" customHeight="1">
      <c r="A1565" s="175" t="s">
        <v>60</v>
      </c>
      <c r="B1565" s="175" t="s">
        <v>1324</v>
      </c>
      <c r="C1565" s="187" t="s">
        <v>94</v>
      </c>
      <c r="D1565" s="195"/>
      <c r="E1565" s="195">
        <v>5</v>
      </c>
      <c r="F1565" s="200"/>
      <c r="G1565" s="195"/>
      <c r="H1565" s="67">
        <f>+Table_1[[#This Row],[Column7]]+Table_1[[#This Row],[Column6]]+Table_1[[#This Row],[Column5]]+Table_1[[#This Row],[Column4]]</f>
        <v>5</v>
      </c>
      <c r="I1565" s="177">
        <v>6171.42</v>
      </c>
      <c r="J1565" s="39">
        <f>'PACC GENERAL 2026'!$I1565*'PACC GENERAL 2026'!$H1565</f>
        <v>30857.1</v>
      </c>
      <c r="K1565" s="40"/>
      <c r="L1565" s="36"/>
      <c r="M1565" s="36"/>
      <c r="N1565" s="37"/>
      <c r="O1565" s="187" t="s">
        <v>1338</v>
      </c>
      <c r="P1565" s="323"/>
    </row>
    <row r="1566" spans="1:16" s="287" customFormat="1" ht="15.75" customHeight="1">
      <c r="A1566" s="175" t="s">
        <v>60</v>
      </c>
      <c r="B1566" s="175" t="s">
        <v>1325</v>
      </c>
      <c r="C1566" s="37" t="s">
        <v>94</v>
      </c>
      <c r="D1566" s="195"/>
      <c r="E1566" s="195">
        <v>5</v>
      </c>
      <c r="F1566" s="200"/>
      <c r="G1566" s="195"/>
      <c r="H1566" s="67">
        <f>+Table_1[[#This Row],[Column7]]+Table_1[[#This Row],[Column6]]+Table_1[[#This Row],[Column5]]+Table_1[[#This Row],[Column4]]</f>
        <v>5</v>
      </c>
      <c r="I1566" s="177">
        <v>6500</v>
      </c>
      <c r="J1566" s="39">
        <f>'PACC GENERAL 2026'!$I1566*'PACC GENERAL 2026'!$H1566</f>
        <v>32500</v>
      </c>
      <c r="K1566" s="40"/>
      <c r="L1566" s="36"/>
      <c r="M1566" s="36"/>
      <c r="N1566" s="37"/>
      <c r="O1566" s="187" t="s">
        <v>1338</v>
      </c>
      <c r="P1566" s="323"/>
    </row>
    <row r="1567" spans="1:16" s="287" customFormat="1" ht="15.75" customHeight="1">
      <c r="A1567" s="36" t="s">
        <v>60</v>
      </c>
      <c r="B1567" s="36" t="s">
        <v>1326</v>
      </c>
      <c r="C1567" s="37" t="s">
        <v>94</v>
      </c>
      <c r="D1567" s="138"/>
      <c r="E1567" s="138">
        <v>10</v>
      </c>
      <c r="F1567" s="151"/>
      <c r="G1567" s="138"/>
      <c r="H1567" s="67">
        <f>+Table_1[[#This Row],[Column7]]+Table_1[[#This Row],[Column6]]+Table_1[[#This Row],[Column5]]+Table_1[[#This Row],[Column4]]</f>
        <v>10</v>
      </c>
      <c r="I1567" s="38">
        <v>7500</v>
      </c>
      <c r="J1567" s="39">
        <f>'PACC GENERAL 2026'!$I1567*'PACC GENERAL 2026'!$H1567</f>
        <v>75000</v>
      </c>
      <c r="K1567" s="40"/>
      <c r="L1567" s="36"/>
      <c r="M1567" s="36"/>
      <c r="N1567" s="37"/>
      <c r="O1567" s="187" t="s">
        <v>1338</v>
      </c>
      <c r="P1567" s="323"/>
    </row>
    <row r="1568" spans="1:16" s="287" customFormat="1" ht="15.75" customHeight="1">
      <c r="A1568" s="36" t="s">
        <v>60</v>
      </c>
      <c r="B1568" s="36" t="s">
        <v>1327</v>
      </c>
      <c r="C1568" s="37" t="s">
        <v>94</v>
      </c>
      <c r="D1568" s="138"/>
      <c r="E1568" s="138">
        <v>1</v>
      </c>
      <c r="F1568" s="151"/>
      <c r="G1568" s="138"/>
      <c r="H1568" s="67">
        <f>+Table_1[[#This Row],[Column7]]+Table_1[[#This Row],[Column6]]+Table_1[[#This Row],[Column5]]+Table_1[[#This Row],[Column4]]</f>
        <v>1</v>
      </c>
      <c r="I1568" s="38">
        <v>300000</v>
      </c>
      <c r="J1568" s="39">
        <f>'PACC GENERAL 2026'!$I1568*'PACC GENERAL 2026'!$H1568</f>
        <v>300000</v>
      </c>
      <c r="K1568" s="40"/>
      <c r="L1568" s="36"/>
      <c r="M1568" s="36"/>
      <c r="N1568" s="37"/>
      <c r="O1568" s="187" t="s">
        <v>1338</v>
      </c>
      <c r="P1568" s="323"/>
    </row>
    <row r="1569" spans="1:16" s="287" customFormat="1" ht="15.75" customHeight="1">
      <c r="A1569" s="36" t="s">
        <v>60</v>
      </c>
      <c r="B1569" s="36" t="s">
        <v>1328</v>
      </c>
      <c r="C1569" s="37" t="s">
        <v>94</v>
      </c>
      <c r="D1569" s="138"/>
      <c r="E1569" s="138">
        <v>1</v>
      </c>
      <c r="F1569" s="151"/>
      <c r="G1569" s="138"/>
      <c r="H1569" s="67">
        <f>+Table_1[[#This Row],[Column7]]+Table_1[[#This Row],[Column6]]+Table_1[[#This Row],[Column5]]+Table_1[[#This Row],[Column4]]</f>
        <v>1</v>
      </c>
      <c r="I1569" s="38">
        <v>2530000</v>
      </c>
      <c r="J1569" s="39">
        <f>'PACC GENERAL 2026'!$I1569*'PACC GENERAL 2026'!$H1569</f>
        <v>2530000</v>
      </c>
      <c r="K1569" s="40"/>
      <c r="L1569" s="36"/>
      <c r="M1569" s="36"/>
      <c r="N1569" s="37"/>
      <c r="O1569" s="187" t="s">
        <v>1338</v>
      </c>
      <c r="P1569" s="323"/>
    </row>
    <row r="1570" spans="1:16" s="287" customFormat="1" ht="15.75" customHeight="1">
      <c r="A1570" s="36" t="s">
        <v>60</v>
      </c>
      <c r="B1570" s="36" t="s">
        <v>1329</v>
      </c>
      <c r="C1570" s="37" t="s">
        <v>94</v>
      </c>
      <c r="D1570" s="195"/>
      <c r="E1570" s="195">
        <v>4</v>
      </c>
      <c r="F1570" s="200"/>
      <c r="G1570" s="138"/>
      <c r="H1570" s="67">
        <f>+Table_1[[#This Row],[Column7]]+Table_1[[#This Row],[Column6]]+Table_1[[#This Row],[Column5]]+Table_1[[#This Row],[Column4]]</f>
        <v>4</v>
      </c>
      <c r="I1570" s="38">
        <v>330000</v>
      </c>
      <c r="J1570" s="39">
        <f>'PACC GENERAL 2026'!$I1570*'PACC GENERAL 2026'!$H1570</f>
        <v>1320000</v>
      </c>
      <c r="K1570" s="40"/>
      <c r="L1570" s="36"/>
      <c r="M1570" s="36"/>
      <c r="N1570" s="37"/>
      <c r="O1570" s="187" t="s">
        <v>1338</v>
      </c>
      <c r="P1570" s="323"/>
    </row>
    <row r="1571" spans="1:16" s="287" customFormat="1" ht="15.75" customHeight="1">
      <c r="A1571" s="175" t="s">
        <v>60</v>
      </c>
      <c r="B1571" s="175" t="s">
        <v>1330</v>
      </c>
      <c r="C1571" s="187" t="s">
        <v>94</v>
      </c>
      <c r="D1571" s="195"/>
      <c r="E1571" s="138"/>
      <c r="F1571" s="200">
        <v>1</v>
      </c>
      <c r="G1571" s="195"/>
      <c r="H1571" s="67">
        <f>+Table_1[[#This Row],[Column7]]+Table_1[[#This Row],[Column6]]+Table_1[[#This Row],[Column5]]+Table_1[[#This Row],[Column4]]</f>
        <v>1</v>
      </c>
      <c r="I1571" s="177">
        <v>200000</v>
      </c>
      <c r="J1571" s="39">
        <f>'PACC GENERAL 2026'!$I1571*'PACC GENERAL 2026'!$H1571</f>
        <v>200000</v>
      </c>
      <c r="K1571" s="40"/>
      <c r="L1571" s="36"/>
      <c r="M1571" s="36"/>
      <c r="N1571" s="37"/>
      <c r="O1571" s="187" t="s">
        <v>1338</v>
      </c>
      <c r="P1571" s="323"/>
    </row>
    <row r="1572" spans="1:16" s="287" customFormat="1" ht="15.75" customHeight="1">
      <c r="A1572" s="36" t="s">
        <v>60</v>
      </c>
      <c r="B1572" s="36" t="s">
        <v>1331</v>
      </c>
      <c r="C1572" s="37" t="s">
        <v>94</v>
      </c>
      <c r="D1572" s="138"/>
      <c r="E1572" s="138"/>
      <c r="F1572" s="151">
        <v>1</v>
      </c>
      <c r="G1572" s="138"/>
      <c r="H1572" s="67">
        <f>+Table_1[[#This Row],[Column7]]+Table_1[[#This Row],[Column6]]+Table_1[[#This Row],[Column5]]+Table_1[[#This Row],[Column4]]</f>
        <v>1</v>
      </c>
      <c r="I1572" s="38">
        <v>80000</v>
      </c>
      <c r="J1572" s="39">
        <f>'PACC GENERAL 2026'!$I1572*'PACC GENERAL 2026'!$H1572</f>
        <v>80000</v>
      </c>
      <c r="K1572" s="40"/>
      <c r="L1572" s="36"/>
      <c r="M1572" s="36"/>
      <c r="N1572" s="37"/>
      <c r="O1572" s="187" t="s">
        <v>1338</v>
      </c>
      <c r="P1572" s="323"/>
    </row>
    <row r="1573" spans="1:16" s="287" customFormat="1" ht="15.75" customHeight="1">
      <c r="A1573" s="175" t="s">
        <v>60</v>
      </c>
      <c r="B1573" s="175" t="s">
        <v>1332</v>
      </c>
      <c r="C1573" s="187" t="s">
        <v>94</v>
      </c>
      <c r="D1573" s="195"/>
      <c r="E1573" s="195">
        <v>1</v>
      </c>
      <c r="F1573" s="200"/>
      <c r="G1573" s="195"/>
      <c r="H1573" s="67">
        <f>+Table_1[[#This Row],[Column7]]+Table_1[[#This Row],[Column6]]+Table_1[[#This Row],[Column5]]+Table_1[[#This Row],[Column4]]</f>
        <v>1</v>
      </c>
      <c r="I1573" s="177">
        <v>1020000</v>
      </c>
      <c r="J1573" s="39">
        <f>'PACC GENERAL 2026'!$I1573*'PACC GENERAL 2026'!$H1573</f>
        <v>1020000</v>
      </c>
      <c r="K1573" s="204"/>
      <c r="L1573" s="175"/>
      <c r="M1573" s="175"/>
      <c r="N1573" s="187"/>
      <c r="O1573" s="187" t="s">
        <v>1338</v>
      </c>
      <c r="P1573" s="323"/>
    </row>
    <row r="1574" spans="1:16" s="287" customFormat="1" ht="15.75" customHeight="1">
      <c r="A1574" s="36" t="s">
        <v>60</v>
      </c>
      <c r="B1574" s="36" t="s">
        <v>1333</v>
      </c>
      <c r="C1574" s="37" t="s">
        <v>94</v>
      </c>
      <c r="D1574" s="195"/>
      <c r="E1574" s="138">
        <v>4</v>
      </c>
      <c r="F1574" s="200"/>
      <c r="G1574" s="138"/>
      <c r="H1574" s="67">
        <f>+Table_1[[#This Row],[Column7]]+Table_1[[#This Row],[Column6]]+Table_1[[#This Row],[Column5]]+Table_1[[#This Row],[Column4]]</f>
        <v>4</v>
      </c>
      <c r="I1574" s="38">
        <v>100000</v>
      </c>
      <c r="J1574" s="39">
        <f>'PACC GENERAL 2026'!$I1574*'PACC GENERAL 2026'!$H1574</f>
        <v>400000</v>
      </c>
      <c r="K1574" s="40"/>
      <c r="L1574" s="36"/>
      <c r="M1574" s="36"/>
      <c r="N1574" s="37"/>
      <c r="O1574" s="187" t="s">
        <v>1338</v>
      </c>
      <c r="P1574" s="323"/>
    </row>
    <row r="1575" spans="1:16" s="287" customFormat="1" ht="15.75" customHeight="1">
      <c r="A1575" s="36" t="s">
        <v>60</v>
      </c>
      <c r="B1575" s="36" t="s">
        <v>1334</v>
      </c>
      <c r="C1575" s="37" t="s">
        <v>94</v>
      </c>
      <c r="D1575" s="138"/>
      <c r="E1575" s="138">
        <v>20</v>
      </c>
      <c r="F1575" s="151"/>
      <c r="G1575" s="138"/>
      <c r="H1575" s="67">
        <f>+Table_1[[#This Row],[Column7]]+Table_1[[#This Row],[Column6]]+Table_1[[#This Row],[Column5]]+Table_1[[#This Row],[Column4]]</f>
        <v>20</v>
      </c>
      <c r="I1575" s="38">
        <v>5000</v>
      </c>
      <c r="J1575" s="39">
        <f>'PACC GENERAL 2026'!$I1575*'PACC GENERAL 2026'!$H1575</f>
        <v>100000</v>
      </c>
      <c r="K1575" s="40"/>
      <c r="L1575" s="36"/>
      <c r="M1575" s="36"/>
      <c r="N1575" s="37"/>
      <c r="O1575" s="187" t="s">
        <v>1338</v>
      </c>
      <c r="P1575" s="323"/>
    </row>
    <row r="1576" spans="1:16" s="287" customFormat="1" ht="15.75" customHeight="1">
      <c r="A1576" s="36" t="s">
        <v>60</v>
      </c>
      <c r="B1576" s="36" t="s">
        <v>1335</v>
      </c>
      <c r="C1576" s="37" t="s">
        <v>94</v>
      </c>
      <c r="D1576" s="195"/>
      <c r="E1576" s="195">
        <v>4</v>
      </c>
      <c r="F1576" s="200"/>
      <c r="G1576" s="138"/>
      <c r="H1576" s="67">
        <f>+Table_1[[#This Row],[Column7]]+Table_1[[#This Row],[Column6]]+Table_1[[#This Row],[Column5]]+Table_1[[#This Row],[Column4]]</f>
        <v>4</v>
      </c>
      <c r="I1576" s="38">
        <v>35000</v>
      </c>
      <c r="J1576" s="39">
        <f>'PACC GENERAL 2026'!$I1576*'PACC GENERAL 2026'!$H1576</f>
        <v>140000</v>
      </c>
      <c r="K1576" s="40"/>
      <c r="L1576" s="36"/>
      <c r="M1576" s="36"/>
      <c r="N1576" s="37"/>
      <c r="O1576" s="187" t="s">
        <v>1338</v>
      </c>
      <c r="P1576" s="323"/>
    </row>
    <row r="1577" spans="1:16" s="287" customFormat="1" ht="15.75" customHeight="1">
      <c r="A1577" s="36" t="s">
        <v>60</v>
      </c>
      <c r="B1577" s="36" t="s">
        <v>418</v>
      </c>
      <c r="C1577" s="37" t="s">
        <v>94</v>
      </c>
      <c r="D1577" s="195"/>
      <c r="E1577" s="195"/>
      <c r="F1577" s="200">
        <v>1</v>
      </c>
      <c r="G1577" s="138"/>
      <c r="H1577" s="67">
        <f>+Table_1[[#This Row],[Column7]]+Table_1[[#This Row],[Column6]]+Table_1[[#This Row],[Column5]]+Table_1[[#This Row],[Column4]]</f>
        <v>1</v>
      </c>
      <c r="I1577" s="38">
        <v>35000</v>
      </c>
      <c r="J1577" s="39">
        <f>'PACC GENERAL 2026'!$I1577*'PACC GENERAL 2026'!$H1577</f>
        <v>35000</v>
      </c>
      <c r="K1577" s="40"/>
      <c r="L1577" s="36"/>
      <c r="M1577" s="36"/>
      <c r="N1577" s="37"/>
      <c r="O1577" s="187" t="s">
        <v>1338</v>
      </c>
      <c r="P1577" s="323"/>
    </row>
    <row r="1578" spans="1:16" s="287" customFormat="1" ht="15.75" customHeight="1">
      <c r="A1578" s="36" t="s">
        <v>60</v>
      </c>
      <c r="B1578" s="36" t="s">
        <v>1336</v>
      </c>
      <c r="C1578" s="37" t="s">
        <v>94</v>
      </c>
      <c r="D1578" s="138"/>
      <c r="E1578" s="138">
        <v>5</v>
      </c>
      <c r="F1578" s="151"/>
      <c r="G1578" s="138"/>
      <c r="H1578" s="67">
        <f>+Table_1[[#This Row],[Column7]]+Table_1[[#This Row],[Column6]]+Table_1[[#This Row],[Column5]]+Table_1[[#This Row],[Column4]]</f>
        <v>5</v>
      </c>
      <c r="I1578" s="38">
        <v>70000</v>
      </c>
      <c r="J1578" s="39">
        <f>'PACC GENERAL 2026'!$I1578*'PACC GENERAL 2026'!$H1578</f>
        <v>350000</v>
      </c>
      <c r="K1578" s="40"/>
      <c r="L1578" s="36"/>
      <c r="M1578" s="36"/>
      <c r="N1578" s="37"/>
      <c r="O1578" s="187" t="s">
        <v>1338</v>
      </c>
      <c r="P1578" s="323"/>
    </row>
    <row r="1579" spans="1:16" s="287" customFormat="1" ht="21" customHeight="1">
      <c r="A1579" s="36" t="s">
        <v>60</v>
      </c>
      <c r="B1579" s="36" t="s">
        <v>1337</v>
      </c>
      <c r="C1579" s="37" t="s">
        <v>94</v>
      </c>
      <c r="D1579" s="195"/>
      <c r="E1579" s="195">
        <v>5</v>
      </c>
      <c r="F1579" s="200"/>
      <c r="G1579" s="138"/>
      <c r="H1579" s="67">
        <f>+Table_1[[#This Row],[Column7]]+Table_1[[#This Row],[Column6]]+Table_1[[#This Row],[Column5]]+Table_1[[#This Row],[Column4]]</f>
        <v>5</v>
      </c>
      <c r="I1579" s="38">
        <v>80000</v>
      </c>
      <c r="J1579" s="39">
        <f>'PACC GENERAL 2026'!$I1579*'PACC GENERAL 2026'!$H1579</f>
        <v>400000</v>
      </c>
      <c r="K1579" s="40"/>
      <c r="L1579" s="36"/>
      <c r="M1579" s="36"/>
      <c r="N1579" s="37"/>
      <c r="O1579" s="187" t="s">
        <v>1338</v>
      </c>
      <c r="P1579" s="323"/>
    </row>
    <row r="1580" spans="1:16" s="287" customFormat="1" ht="21" customHeight="1">
      <c r="A1580" s="36" t="s">
        <v>60</v>
      </c>
      <c r="B1580" s="36" t="s">
        <v>1657</v>
      </c>
      <c r="C1580" s="37" t="s">
        <v>94</v>
      </c>
      <c r="D1580" s="236"/>
      <c r="E1580" s="236">
        <v>8</v>
      </c>
      <c r="F1580" s="242"/>
      <c r="G1580" s="138"/>
      <c r="H1580" s="67">
        <f>+Table_1[[#This Row],[Column7]]+Table_1[[#This Row],[Column6]]+Table_1[[#This Row],[Column5]]+Table_1[[#This Row],[Column4]]</f>
        <v>8</v>
      </c>
      <c r="I1580" s="38">
        <v>110000</v>
      </c>
      <c r="J1580" s="39">
        <f>'PACC GENERAL 2026'!$I1580*'PACC GENERAL 2026'!$H1580</f>
        <v>880000</v>
      </c>
      <c r="K1580" s="40"/>
      <c r="L1580" s="36"/>
      <c r="M1580" s="36"/>
      <c r="N1580" s="37"/>
      <c r="O1580" s="123" t="s">
        <v>1662</v>
      </c>
      <c r="P1580" s="323"/>
    </row>
    <row r="1581" spans="1:16" s="287" customFormat="1" ht="21" customHeight="1">
      <c r="A1581" s="36" t="s">
        <v>60</v>
      </c>
      <c r="B1581" s="36" t="s">
        <v>1658</v>
      </c>
      <c r="C1581" s="37" t="s">
        <v>94</v>
      </c>
      <c r="D1581" s="236"/>
      <c r="E1581" s="236">
        <v>8</v>
      </c>
      <c r="F1581" s="242"/>
      <c r="G1581" s="138"/>
      <c r="H1581" s="67">
        <f>+Table_1[[#This Row],[Column7]]+Table_1[[#This Row],[Column6]]+Table_1[[#This Row],[Column5]]+Table_1[[#This Row],[Column4]]</f>
        <v>8</v>
      </c>
      <c r="I1581" s="38">
        <v>110000</v>
      </c>
      <c r="J1581" s="39">
        <f>'PACC GENERAL 2026'!$I1581*'PACC GENERAL 2026'!$H1581</f>
        <v>880000</v>
      </c>
      <c r="K1581" s="40"/>
      <c r="L1581" s="36"/>
      <c r="M1581" s="36"/>
      <c r="N1581" s="37"/>
      <c r="O1581" s="123" t="s">
        <v>1662</v>
      </c>
      <c r="P1581" s="323"/>
    </row>
    <row r="1582" spans="1:16" s="287" customFormat="1" ht="21" customHeight="1">
      <c r="A1582" s="36" t="s">
        <v>60</v>
      </c>
      <c r="B1582" s="36" t="s">
        <v>1659</v>
      </c>
      <c r="C1582" s="37" t="s">
        <v>94</v>
      </c>
      <c r="D1582" s="236"/>
      <c r="E1582" s="236">
        <v>6</v>
      </c>
      <c r="F1582" s="242"/>
      <c r="G1582" s="138"/>
      <c r="H1582" s="67">
        <f>+Table_1[[#This Row],[Column7]]+Table_1[[#This Row],[Column6]]+Table_1[[#This Row],[Column5]]+Table_1[[#This Row],[Column4]]</f>
        <v>6</v>
      </c>
      <c r="I1582" s="38">
        <v>10000</v>
      </c>
      <c r="J1582" s="39">
        <f>'PACC GENERAL 2026'!$I1582*'PACC GENERAL 2026'!$H1582</f>
        <v>60000</v>
      </c>
      <c r="K1582" s="40"/>
      <c r="L1582" s="36"/>
      <c r="M1582" s="36"/>
      <c r="N1582" s="37"/>
      <c r="O1582" s="123" t="s">
        <v>1662</v>
      </c>
      <c r="P1582" s="323"/>
    </row>
    <row r="1583" spans="1:16" s="287" customFormat="1" ht="21" customHeight="1">
      <c r="A1583" s="36" t="s">
        <v>60</v>
      </c>
      <c r="B1583" s="36" t="s">
        <v>1660</v>
      </c>
      <c r="C1583" s="37" t="s">
        <v>94</v>
      </c>
      <c r="D1583" s="236"/>
      <c r="E1583" s="236">
        <v>1</v>
      </c>
      <c r="F1583" s="242"/>
      <c r="G1583" s="138"/>
      <c r="H1583" s="67">
        <f>+Table_1[[#This Row],[Column7]]+Table_1[[#This Row],[Column6]]+Table_1[[#This Row],[Column5]]+Table_1[[#This Row],[Column4]]</f>
        <v>1</v>
      </c>
      <c r="I1583" s="38">
        <v>45000</v>
      </c>
      <c r="J1583" s="39">
        <f>'PACC GENERAL 2026'!$I1583*'PACC GENERAL 2026'!$H1583</f>
        <v>45000</v>
      </c>
      <c r="K1583" s="40"/>
      <c r="L1583" s="36"/>
      <c r="M1583" s="36"/>
      <c r="N1583" s="37"/>
      <c r="O1583" s="123" t="s">
        <v>1662</v>
      </c>
      <c r="P1583" s="323"/>
    </row>
    <row r="1584" spans="1:16" s="287" customFormat="1" ht="15.75" customHeight="1">
      <c r="A1584" s="36" t="s">
        <v>60</v>
      </c>
      <c r="B1584" s="36" t="s">
        <v>1661</v>
      </c>
      <c r="C1584" s="37" t="s">
        <v>94</v>
      </c>
      <c r="D1584" s="195"/>
      <c r="E1584" s="195">
        <v>1</v>
      </c>
      <c r="F1584" s="200"/>
      <c r="G1584" s="138"/>
      <c r="H1584" s="67">
        <f>+Table_1[[#This Row],[Column7]]+Table_1[[#This Row],[Column6]]+Table_1[[#This Row],[Column5]]+Table_1[[#This Row],[Column4]]</f>
        <v>1</v>
      </c>
      <c r="I1584" s="38">
        <v>45000</v>
      </c>
      <c r="J1584" s="39">
        <f>'PACC GENERAL 2026'!$I1584*'PACC GENERAL 2026'!$H1584</f>
        <v>45000</v>
      </c>
      <c r="K1584" s="40"/>
      <c r="L1584" s="36"/>
      <c r="M1584" s="36"/>
      <c r="N1584" s="37"/>
      <c r="O1584" s="123" t="s">
        <v>1662</v>
      </c>
      <c r="P1584" s="323"/>
    </row>
    <row r="1585" spans="1:16" s="287" customFormat="1" ht="15.75" customHeight="1">
      <c r="A1585" s="9" t="s">
        <v>60</v>
      </c>
      <c r="B1585" s="10"/>
      <c r="C1585" s="10"/>
      <c r="D1585" s="152"/>
      <c r="E1585" s="152"/>
      <c r="F1585" s="152"/>
      <c r="G1585" s="152"/>
      <c r="H1585" s="152"/>
      <c r="I1585" s="44"/>
      <c r="J1585" s="12"/>
      <c r="K1585" s="13">
        <f>SUM(J1544:J1584)</f>
        <v>13165357.1</v>
      </c>
      <c r="L1585" s="10"/>
      <c r="M1585" s="10"/>
      <c r="N1585" s="10"/>
      <c r="O1585" s="73"/>
      <c r="P1585" s="278"/>
    </row>
    <row r="1586" spans="1:16" ht="15.5">
      <c r="A1586" s="36" t="s">
        <v>878</v>
      </c>
      <c r="B1586" s="36" t="s">
        <v>876</v>
      </c>
      <c r="C1586" s="37" t="s">
        <v>94</v>
      </c>
      <c r="D1586" s="195"/>
      <c r="E1586" s="195"/>
      <c r="F1586" s="195"/>
      <c r="G1586" s="138">
        <v>1</v>
      </c>
      <c r="H1586" s="67">
        <f>+Table_1[[#This Row],[Column7]]+Table_1[[#This Row],[Column6]]+Table_1[[#This Row],[Column5]]+Table_1[[#This Row],[Column4]]</f>
        <v>1</v>
      </c>
      <c r="I1586" s="38">
        <v>230000</v>
      </c>
      <c r="J1586" s="39">
        <f>'PACC GENERAL 2026'!$I1586*'PACC GENERAL 2026'!$H1586</f>
        <v>230000</v>
      </c>
      <c r="K1586" s="40"/>
      <c r="L1586" s="36"/>
      <c r="M1586" s="36"/>
      <c r="N1586" s="37"/>
      <c r="O1586" s="37" t="s">
        <v>1374</v>
      </c>
      <c r="P1586" s="287"/>
    </row>
    <row r="1587" spans="1:16" s="287" customFormat="1" ht="15.5">
      <c r="A1587" s="36" t="s">
        <v>878</v>
      </c>
      <c r="B1587" s="36" t="s">
        <v>877</v>
      </c>
      <c r="C1587" s="37" t="s">
        <v>94</v>
      </c>
      <c r="D1587" s="195"/>
      <c r="E1587" s="195"/>
      <c r="F1587" s="138"/>
      <c r="G1587" s="138">
        <v>1</v>
      </c>
      <c r="H1587" s="67">
        <f>+Table_1[[#This Row],[Column7]]+Table_1[[#This Row],[Column6]]+Table_1[[#This Row],[Column5]]+Table_1[[#This Row],[Column4]]</f>
        <v>1</v>
      </c>
      <c r="I1587" s="38">
        <v>450000</v>
      </c>
      <c r="J1587" s="39">
        <f>'PACC GENERAL 2026'!$I1587*'PACC GENERAL 2026'!$H1587</f>
        <v>450000</v>
      </c>
      <c r="K1587" s="40"/>
      <c r="L1587" s="36"/>
      <c r="M1587" s="36"/>
      <c r="N1587" s="37"/>
      <c r="O1587" s="37" t="s">
        <v>1374</v>
      </c>
    </row>
    <row r="1588" spans="1:16" s="287" customFormat="1" ht="15.5">
      <c r="A1588" s="9" t="s">
        <v>878</v>
      </c>
      <c r="B1588" s="10"/>
      <c r="C1588" s="10"/>
      <c r="D1588" s="152"/>
      <c r="E1588" s="152"/>
      <c r="F1588" s="152"/>
      <c r="G1588" s="152"/>
      <c r="H1588" s="152"/>
      <c r="I1588" s="44"/>
      <c r="J1588" s="12"/>
      <c r="K1588" s="13">
        <f>SUM(J1586:J1587)</f>
        <v>680000</v>
      </c>
      <c r="L1588" s="73"/>
      <c r="M1588" s="10"/>
      <c r="N1588" s="10"/>
      <c r="O1588" s="107"/>
      <c r="P1588" s="278"/>
    </row>
    <row r="1589" spans="1:16" s="337" customFormat="1" ht="15.5">
      <c r="A1589" s="31" t="s">
        <v>61</v>
      </c>
      <c r="B1589" s="31" t="s">
        <v>759</v>
      </c>
      <c r="C1589" s="32" t="s">
        <v>94</v>
      </c>
      <c r="D1589" s="133"/>
      <c r="E1589" s="137"/>
      <c r="F1589" s="133"/>
      <c r="G1589" s="133"/>
      <c r="H1589" s="67">
        <f>+Table_1[[#This Row],[Column7]]+Table_1[[#This Row],[Column6]]+Table_1[[#This Row],[Column5]]+Table_1[[#This Row],[Column4]]</f>
        <v>0</v>
      </c>
      <c r="I1589" s="38">
        <v>325</v>
      </c>
      <c r="J1589" s="34">
        <f>'PACC GENERAL 2026'!$I1589*'PACC GENERAL 2026'!$H1589</f>
        <v>0</v>
      </c>
      <c r="K1589" s="35"/>
      <c r="L1589" s="31"/>
      <c r="M1589" s="31"/>
      <c r="N1589" s="32"/>
      <c r="O1589" s="32"/>
      <c r="P1589" s="97"/>
    </row>
    <row r="1590" spans="1:16" s="97" customFormat="1" ht="15.5">
      <c r="A1590" s="31" t="s">
        <v>61</v>
      </c>
      <c r="B1590" s="31" t="s">
        <v>1222</v>
      </c>
      <c r="C1590" s="32" t="s">
        <v>94</v>
      </c>
      <c r="D1590" s="133">
        <v>1050</v>
      </c>
      <c r="E1590" s="137"/>
      <c r="F1590" s="133"/>
      <c r="G1590" s="133"/>
      <c r="H1590" s="67">
        <f>+Table_1[[#This Row],[Column7]]+Table_1[[#This Row],[Column6]]+Table_1[[#This Row],[Column5]]+Table_1[[#This Row],[Column4]]</f>
        <v>1050</v>
      </c>
      <c r="I1590" s="38">
        <v>325</v>
      </c>
      <c r="J1590" s="34">
        <f>'PACC GENERAL 2026'!$I1590*'PACC GENERAL 2026'!$H1590</f>
        <v>341250</v>
      </c>
      <c r="K1590" s="35"/>
      <c r="L1590" s="31"/>
      <c r="M1590" s="31"/>
      <c r="N1590" s="32"/>
      <c r="O1590" s="32" t="s">
        <v>1471</v>
      </c>
      <c r="P1590" s="320"/>
    </row>
    <row r="1591" spans="1:16" s="97" customFormat="1" ht="15.5">
      <c r="A1591" s="31" t="s">
        <v>61</v>
      </c>
      <c r="B1591" s="31" t="s">
        <v>656</v>
      </c>
      <c r="C1591" s="32" t="s">
        <v>94</v>
      </c>
      <c r="D1591" s="182">
        <v>2110</v>
      </c>
      <c r="E1591" s="194"/>
      <c r="F1591" s="133"/>
      <c r="G1591" s="133"/>
      <c r="H1591" s="67">
        <f>+Table_1[[#This Row],[Column7]]+Table_1[[#This Row],[Column6]]+Table_1[[#This Row],[Column5]]+Table_1[[#This Row],[Column4]]</f>
        <v>2110</v>
      </c>
      <c r="I1591" s="38">
        <v>218.1</v>
      </c>
      <c r="J1591" s="34">
        <f>'PACC GENERAL 2026'!$I1591*'PACC GENERAL 2026'!$H1591</f>
        <v>460191</v>
      </c>
      <c r="K1591" s="35"/>
      <c r="L1591" s="31"/>
      <c r="M1591" s="31"/>
      <c r="N1591" s="32"/>
      <c r="O1591" s="32" t="s">
        <v>1471</v>
      </c>
    </row>
    <row r="1592" spans="1:16" s="97" customFormat="1" ht="15.5">
      <c r="A1592" s="174" t="s">
        <v>61</v>
      </c>
      <c r="B1592" s="174" t="s">
        <v>758</v>
      </c>
      <c r="C1592" s="179" t="s">
        <v>94</v>
      </c>
      <c r="D1592" s="182">
        <v>1500</v>
      </c>
      <c r="E1592" s="194"/>
      <c r="F1592" s="194"/>
      <c r="G1592" s="182"/>
      <c r="H1592" s="67">
        <f>+Table_1[[#This Row],[Column7]]+Table_1[[#This Row],[Column6]]+Table_1[[#This Row],[Column5]]+Table_1[[#This Row],[Column4]]</f>
        <v>1500</v>
      </c>
      <c r="I1592" s="177">
        <v>335</v>
      </c>
      <c r="J1592" s="34">
        <f>'PACC GENERAL 2026'!$I1592*'PACC GENERAL 2026'!$H1592</f>
        <v>502500</v>
      </c>
      <c r="K1592" s="186"/>
      <c r="L1592" s="174"/>
      <c r="M1592" s="174"/>
      <c r="N1592" s="179"/>
      <c r="O1592" s="179" t="s">
        <v>1374</v>
      </c>
    </row>
    <row r="1593" spans="1:16" s="97" customFormat="1" ht="15.5">
      <c r="A1593" s="31" t="s">
        <v>61</v>
      </c>
      <c r="B1593" s="31" t="s">
        <v>413</v>
      </c>
      <c r="C1593" s="32" t="s">
        <v>93</v>
      </c>
      <c r="D1593" s="182">
        <v>2400</v>
      </c>
      <c r="E1593" s="194"/>
      <c r="F1593" s="182"/>
      <c r="G1593" s="133"/>
      <c r="H1593" s="67">
        <f>+Table_1[[#This Row],[Column7]]+Table_1[[#This Row],[Column6]]+Table_1[[#This Row],[Column5]]+Table_1[[#This Row],[Column4]]</f>
        <v>2400</v>
      </c>
      <c r="I1593" s="38">
        <v>250</v>
      </c>
      <c r="J1593" s="34">
        <f>'PACC GENERAL 2026'!$I1593*'PACC GENERAL 2026'!$H1593</f>
        <v>600000</v>
      </c>
      <c r="K1593" s="35"/>
      <c r="L1593" s="31"/>
      <c r="M1593" s="31"/>
      <c r="N1593" s="32"/>
      <c r="O1593" s="179" t="s">
        <v>1374</v>
      </c>
    </row>
    <row r="1594" spans="1:16" s="97" customFormat="1" ht="15.5">
      <c r="A1594" s="31" t="s">
        <v>61</v>
      </c>
      <c r="B1594" s="31" t="s">
        <v>757</v>
      </c>
      <c r="C1594" s="32" t="s">
        <v>94</v>
      </c>
      <c r="D1594" s="133">
        <v>300</v>
      </c>
      <c r="E1594" s="137"/>
      <c r="F1594" s="133"/>
      <c r="G1594" s="133"/>
      <c r="H1594" s="67">
        <f>+Table_1[[#This Row],[Column7]]+Table_1[[#This Row],[Column6]]+Table_1[[#This Row],[Column5]]+Table_1[[#This Row],[Column4]]</f>
        <v>300</v>
      </c>
      <c r="I1594" s="38">
        <v>475</v>
      </c>
      <c r="J1594" s="34">
        <f>'PACC GENERAL 2026'!$I1594*'PACC GENERAL 2026'!$H1594</f>
        <v>142500</v>
      </c>
      <c r="K1594" s="35"/>
      <c r="L1594" s="31"/>
      <c r="M1594" s="31"/>
      <c r="N1594" s="32"/>
      <c r="O1594" s="179" t="s">
        <v>1374</v>
      </c>
    </row>
    <row r="1595" spans="1:16" s="97" customFormat="1" ht="15.5">
      <c r="A1595" s="31" t="s">
        <v>61</v>
      </c>
      <c r="B1595" s="31" t="s">
        <v>1223</v>
      </c>
      <c r="C1595" s="32" t="s">
        <v>94</v>
      </c>
      <c r="D1595" s="182">
        <v>0</v>
      </c>
      <c r="E1595" s="194"/>
      <c r="F1595" s="194"/>
      <c r="G1595" s="133"/>
      <c r="H1595" s="67">
        <f>+Table_1[[#This Row],[Column7]]+Table_1[[#This Row],[Column6]]+Table_1[[#This Row],[Column5]]+Table_1[[#This Row],[Column4]]</f>
        <v>0</v>
      </c>
      <c r="I1595" s="38">
        <v>625</v>
      </c>
      <c r="J1595" s="34">
        <f>'PACC GENERAL 2026'!$I1595*'PACC GENERAL 2026'!$H1595</f>
        <v>0</v>
      </c>
      <c r="K1595" s="35"/>
      <c r="L1595" s="31"/>
      <c r="M1595" s="31"/>
      <c r="N1595" s="32"/>
      <c r="O1595" s="179"/>
    </row>
    <row r="1596" spans="1:16" s="97" customFormat="1" ht="15.5">
      <c r="A1596" s="174" t="s">
        <v>61</v>
      </c>
      <c r="B1596" s="174" t="s">
        <v>654</v>
      </c>
      <c r="C1596" s="179" t="s">
        <v>94</v>
      </c>
      <c r="D1596" s="182">
        <v>1500</v>
      </c>
      <c r="E1596" s="194"/>
      <c r="F1596" s="182"/>
      <c r="G1596" s="182"/>
      <c r="H1596" s="67">
        <f>+Table_1[[#This Row],[Column7]]+Table_1[[#This Row],[Column6]]+Table_1[[#This Row],[Column5]]+Table_1[[#This Row],[Column4]]</f>
        <v>1500</v>
      </c>
      <c r="I1596" s="177">
        <v>253.05</v>
      </c>
      <c r="J1596" s="201">
        <f>'PACC GENERAL 2026'!$I1596*'PACC GENERAL 2026'!$H1596</f>
        <v>379575</v>
      </c>
      <c r="K1596" s="186"/>
      <c r="L1596" s="174"/>
      <c r="M1596" s="174"/>
      <c r="N1596" s="179"/>
      <c r="O1596" s="179" t="s">
        <v>1374</v>
      </c>
    </row>
    <row r="1597" spans="1:16" s="97" customFormat="1" ht="15.5">
      <c r="A1597" s="31" t="s">
        <v>61</v>
      </c>
      <c r="B1597" s="31" t="s">
        <v>756</v>
      </c>
      <c r="C1597" s="32" t="s">
        <v>94</v>
      </c>
      <c r="D1597" s="182">
        <v>352</v>
      </c>
      <c r="E1597" s="194"/>
      <c r="F1597" s="182"/>
      <c r="G1597" s="133"/>
      <c r="H1597" s="67">
        <f>+Table_1[[#This Row],[Column7]]+Table_1[[#This Row],[Column6]]+Table_1[[#This Row],[Column5]]+Table_1[[#This Row],[Column4]]</f>
        <v>352</v>
      </c>
      <c r="I1597" s="38">
        <v>625</v>
      </c>
      <c r="J1597" s="34">
        <f>'PACC GENERAL 2026'!$I1597*'PACC GENERAL 2026'!$H1597</f>
        <v>220000</v>
      </c>
      <c r="K1597" s="35"/>
      <c r="L1597" s="31"/>
      <c r="M1597" s="31"/>
      <c r="N1597" s="32"/>
      <c r="O1597" s="179" t="s">
        <v>1374</v>
      </c>
    </row>
    <row r="1598" spans="1:16" s="97" customFormat="1" ht="15.5">
      <c r="A1598" s="31" t="s">
        <v>61</v>
      </c>
      <c r="B1598" s="31" t="s">
        <v>491</v>
      </c>
      <c r="C1598" s="32" t="s">
        <v>94</v>
      </c>
      <c r="D1598" s="133"/>
      <c r="E1598" s="137"/>
      <c r="F1598" s="137"/>
      <c r="G1598" s="133"/>
      <c r="H1598" s="67">
        <f>+Table_1[[#This Row],[Column7]]+Table_1[[#This Row],[Column6]]+Table_1[[#This Row],[Column5]]+Table_1[[#This Row],[Column4]]</f>
        <v>0</v>
      </c>
      <c r="I1598" s="38">
        <v>500</v>
      </c>
      <c r="J1598" s="34">
        <f>'PACC GENERAL 2026'!$I1598*'PACC GENERAL 2026'!$H1598</f>
        <v>0</v>
      </c>
      <c r="K1598" s="35"/>
      <c r="L1598" s="31"/>
      <c r="M1598" s="31"/>
      <c r="N1598" s="32"/>
      <c r="O1598" s="179"/>
    </row>
    <row r="1599" spans="1:16" s="97" customFormat="1" ht="15.5">
      <c r="A1599" s="31" t="s">
        <v>61</v>
      </c>
      <c r="B1599" s="31" t="s">
        <v>655</v>
      </c>
      <c r="C1599" s="32" t="s">
        <v>94</v>
      </c>
      <c r="D1599" s="182">
        <v>1349</v>
      </c>
      <c r="E1599" s="194"/>
      <c r="F1599" s="182"/>
      <c r="G1599" s="133"/>
      <c r="H1599" s="67">
        <f>+Table_1[[#This Row],[Column7]]+Table_1[[#This Row],[Column6]]+Table_1[[#This Row],[Column5]]+Table_1[[#This Row],[Column4]]</f>
        <v>1349</v>
      </c>
      <c r="I1599" s="38">
        <v>322.08999999999997</v>
      </c>
      <c r="J1599" s="34">
        <f>'PACC GENERAL 2026'!$I1599*'PACC GENERAL 2026'!$H1599</f>
        <v>434499.41</v>
      </c>
      <c r="K1599" s="35"/>
      <c r="L1599" s="31"/>
      <c r="M1599" s="31"/>
      <c r="N1599" s="32"/>
      <c r="O1599" s="179" t="s">
        <v>1374</v>
      </c>
    </row>
    <row r="1600" spans="1:16" s="97" customFormat="1" ht="15.5">
      <c r="A1600" s="9" t="s">
        <v>61</v>
      </c>
      <c r="B1600" s="10"/>
      <c r="C1600" s="10"/>
      <c r="D1600" s="152"/>
      <c r="E1600" s="152"/>
      <c r="F1600" s="152"/>
      <c r="G1600" s="152"/>
      <c r="H1600" s="152"/>
      <c r="I1600" s="44"/>
      <c r="J1600" s="12"/>
      <c r="K1600" s="13">
        <f>SUM(J1589:J1599)</f>
        <v>3080515.41</v>
      </c>
      <c r="L1600" s="10"/>
      <c r="M1600" s="10"/>
      <c r="N1600" s="10"/>
      <c r="O1600" s="73"/>
      <c r="P1600" s="278"/>
    </row>
    <row r="1601" spans="1:16" ht="15.5">
      <c r="A1601" s="68"/>
      <c r="B1601" s="68" t="s">
        <v>881</v>
      </c>
      <c r="C1601" s="69"/>
      <c r="D1601" s="160"/>
      <c r="E1601" s="160"/>
      <c r="F1601" s="160"/>
      <c r="G1601" s="160"/>
      <c r="H1601" s="112"/>
      <c r="I1601" s="70"/>
      <c r="J1601" s="71">
        <f>SUM(J9:J1600)</f>
        <v>8867001230.9889851</v>
      </c>
      <c r="K1601" s="71">
        <f>SUM(K10:K1600)</f>
        <v>8867001230.9890022</v>
      </c>
      <c r="L1601" s="68"/>
      <c r="M1601" s="68"/>
      <c r="N1601" s="69"/>
      <c r="O1601" s="69"/>
      <c r="P1601" s="334"/>
    </row>
    <row r="1602" spans="1:16" s="334" customFormat="1" ht="15.5">
      <c r="A1602" s="456"/>
      <c r="B1602" s="452"/>
      <c r="C1602" s="452"/>
      <c r="D1602" s="452"/>
      <c r="E1602" s="452"/>
      <c r="F1602" s="452"/>
      <c r="G1602" s="452"/>
      <c r="H1602" s="452"/>
      <c r="I1602" s="452"/>
      <c r="J1602" s="452"/>
      <c r="K1602" s="452"/>
      <c r="L1602" s="452"/>
      <c r="M1602" s="452"/>
      <c r="N1602" s="452"/>
      <c r="O1602" s="98"/>
      <c r="P1602" s="278"/>
    </row>
    <row r="1603" spans="1:16" ht="15.5" hidden="1">
      <c r="A1603" s="456"/>
      <c r="B1603" s="456"/>
      <c r="C1603" s="456"/>
      <c r="D1603" s="456"/>
      <c r="E1603" s="456"/>
      <c r="F1603" s="456"/>
      <c r="G1603" s="456"/>
      <c r="H1603" s="456"/>
      <c r="I1603" s="456"/>
      <c r="J1603" s="456"/>
      <c r="K1603" s="456"/>
      <c r="L1603" s="456"/>
      <c r="M1603" s="456"/>
      <c r="N1603" s="456"/>
      <c r="O1603" s="338">
        <f>1086978167.45-K1601</f>
        <v>-7780023063.5390024</v>
      </c>
    </row>
    <row r="1604" spans="1:16" ht="15.75" hidden="1" customHeight="1">
      <c r="A1604" s="450" t="s">
        <v>362</v>
      </c>
      <c r="B1604" s="450"/>
      <c r="C1604" s="450"/>
      <c r="D1604" s="450"/>
      <c r="E1604" s="450"/>
      <c r="F1604" s="450"/>
      <c r="G1604" s="450"/>
      <c r="H1604" s="450"/>
      <c r="I1604" s="450"/>
      <c r="J1604" s="450"/>
      <c r="K1604" s="450"/>
      <c r="O1604" s="339">
        <f>+J1601-K413</f>
        <v>1306301230.9889851</v>
      </c>
    </row>
    <row r="1605" spans="1:16" ht="15.75" hidden="1" customHeight="1">
      <c r="A1605" s="449" t="s">
        <v>352</v>
      </c>
      <c r="B1605" s="449"/>
      <c r="C1605" s="449"/>
      <c r="D1605" s="449"/>
      <c r="E1605" s="449"/>
      <c r="F1605" s="449"/>
      <c r="G1605" s="449"/>
      <c r="H1605" s="449"/>
      <c r="I1605" s="449"/>
      <c r="J1605" s="449"/>
      <c r="K1605" s="449"/>
      <c r="O1605" s="340">
        <v>1087009167.25</v>
      </c>
    </row>
    <row r="1606" spans="1:16" ht="15.75" hidden="1" customHeight="1">
      <c r="A1606" s="450" t="s">
        <v>361</v>
      </c>
      <c r="B1606" s="450"/>
      <c r="C1606" s="450"/>
      <c r="D1606" s="450"/>
      <c r="E1606" s="450"/>
      <c r="F1606" s="450"/>
      <c r="G1606" s="450"/>
      <c r="H1606" s="450"/>
      <c r="I1606" s="450"/>
      <c r="J1606" s="450"/>
      <c r="K1606" s="450"/>
      <c r="O1606" s="340">
        <f>+O1604-O1605</f>
        <v>219292063.73898506</v>
      </c>
    </row>
    <row r="1607" spans="1:16" ht="15.75" hidden="1" customHeight="1">
      <c r="A1607" s="276"/>
      <c r="J1607" s="341"/>
      <c r="O1607" s="342"/>
    </row>
    <row r="1608" spans="1:16" ht="15.75" hidden="1" customHeight="1">
      <c r="A1608" s="16"/>
      <c r="B1608" s="16"/>
      <c r="C1608" s="16"/>
      <c r="D1608" s="2"/>
      <c r="E1608" s="2"/>
      <c r="F1608" s="2"/>
      <c r="G1608" s="2"/>
      <c r="H1608" s="276"/>
      <c r="I1608" s="108"/>
      <c r="L1608" s="16"/>
      <c r="M1608" s="16"/>
      <c r="N1608" s="16"/>
      <c r="O1608" s="342"/>
    </row>
    <row r="1609" spans="1:16" ht="15" hidden="1" customHeight="1">
      <c r="I1609" s="343"/>
      <c r="O1609" s="342"/>
    </row>
    <row r="1610" spans="1:16" ht="15" hidden="1" customHeight="1">
      <c r="I1610" s="343"/>
    </row>
    <row r="1611" spans="1:16" ht="15" hidden="1" customHeight="1">
      <c r="I1611" s="343"/>
    </row>
    <row r="1612" spans="1:16" ht="15" hidden="1" customHeight="1">
      <c r="I1612" s="343"/>
    </row>
    <row r="1613" spans="1:16" ht="15" hidden="1" customHeight="1">
      <c r="I1613" s="343"/>
      <c r="J1613" s="344">
        <f>+K413</f>
        <v>7560700000</v>
      </c>
      <c r="K1613" s="121" t="s">
        <v>355</v>
      </c>
    </row>
    <row r="1614" spans="1:16" ht="15" hidden="1" customHeight="1">
      <c r="I1614" s="343"/>
      <c r="J1614" s="121">
        <f>+J1601-K413</f>
        <v>1306301230.9889851</v>
      </c>
      <c r="K1614" s="345" t="s">
        <v>357</v>
      </c>
    </row>
    <row r="1615" spans="1:16" ht="15" hidden="1" customHeight="1">
      <c r="I1615" s="343"/>
      <c r="J1615" s="344">
        <f>+'PACC GENERAL 2026'!K33+'PACC GENERAL 2026'!J1259+'PACC GENERAL 2026'!J1261</f>
        <v>286665900.28799999</v>
      </c>
      <c r="K1615" s="345" t="s">
        <v>356</v>
      </c>
    </row>
    <row r="1616" spans="1:16" ht="15" hidden="1" customHeight="1">
      <c r="I1616" s="343"/>
      <c r="J1616" s="343"/>
      <c r="K1616" s="343"/>
    </row>
    <row r="1617" spans="4:15" ht="15" hidden="1" customHeight="1">
      <c r="D1617" s="278"/>
      <c r="E1617" s="278"/>
      <c r="F1617" s="278"/>
      <c r="G1617" s="278"/>
      <c r="I1617" s="343"/>
      <c r="J1617" s="346">
        <v>587202342</v>
      </c>
      <c r="K1617" s="345" t="s">
        <v>358</v>
      </c>
    </row>
    <row r="1618" spans="4:15" ht="15" hidden="1" customHeight="1">
      <c r="D1618" s="278"/>
      <c r="E1618" s="278"/>
      <c r="F1618" s="278"/>
      <c r="G1618" s="278"/>
      <c r="I1618" s="343"/>
      <c r="J1618" s="347">
        <f>+J1617-J1614</f>
        <v>-719098888.98898506</v>
      </c>
      <c r="K1618" s="345" t="s">
        <v>359</v>
      </c>
    </row>
    <row r="1619" spans="4:15" ht="15" hidden="1" customHeight="1">
      <c r="D1619" s="278"/>
      <c r="E1619" s="278"/>
      <c r="F1619" s="278"/>
      <c r="G1619" s="278"/>
      <c r="I1619" s="343"/>
      <c r="J1619" s="343"/>
      <c r="K1619" s="343"/>
    </row>
    <row r="1620" spans="4:15" ht="15" hidden="1" customHeight="1">
      <c r="D1620" s="278"/>
      <c r="E1620" s="278"/>
      <c r="F1620" s="278"/>
      <c r="G1620" s="278"/>
      <c r="I1620" s="343"/>
      <c r="J1620" s="348">
        <v>99275783</v>
      </c>
      <c r="K1620" s="343"/>
    </row>
    <row r="1621" spans="4:15" ht="15" hidden="1" customHeight="1">
      <c r="D1621" s="278"/>
      <c r="E1621" s="278"/>
      <c r="F1621" s="278"/>
      <c r="G1621" s="278"/>
      <c r="I1621" s="343"/>
      <c r="J1621" s="349">
        <f>+J1620-50280083.46</f>
        <v>48995699.539999999</v>
      </c>
      <c r="K1621" s="343" t="s">
        <v>360</v>
      </c>
    </row>
    <row r="1622" spans="4:15" ht="15" hidden="1" customHeight="1">
      <c r="D1622" s="278"/>
      <c r="E1622" s="278"/>
      <c r="F1622" s="278"/>
      <c r="G1622" s="278"/>
      <c r="I1622" s="343"/>
      <c r="J1622" s="343"/>
      <c r="K1622" s="343"/>
      <c r="O1622" s="278"/>
    </row>
    <row r="1623" spans="4:15" ht="15" hidden="1" customHeight="1">
      <c r="D1623" s="278"/>
      <c r="E1623" s="278"/>
      <c r="F1623" s="278"/>
      <c r="G1623" s="278"/>
      <c r="I1623" s="343"/>
      <c r="J1623" s="348"/>
      <c r="K1623" s="343"/>
      <c r="O1623" s="278"/>
    </row>
    <row r="1624" spans="4:15" ht="15" hidden="1" customHeight="1">
      <c r="D1624" s="278"/>
      <c r="E1624" s="278"/>
      <c r="F1624" s="278"/>
      <c r="G1624" s="278"/>
      <c r="I1624" s="343"/>
      <c r="J1624" s="344"/>
      <c r="K1624" s="343"/>
      <c r="O1624" s="278"/>
    </row>
    <row r="1625" spans="4:15" ht="15" customHeight="1">
      <c r="D1625" s="278"/>
      <c r="E1625" s="278"/>
      <c r="F1625" s="278"/>
      <c r="G1625" s="278"/>
      <c r="I1625" s="343"/>
      <c r="J1625" s="361" t="s">
        <v>1473</v>
      </c>
      <c r="K1625" s="359">
        <f>K1601-K413</f>
        <v>1306301230.9890022</v>
      </c>
      <c r="O1625" s="278"/>
    </row>
    <row r="1626" spans="4:15" ht="15" hidden="1" customHeight="1">
      <c r="D1626" s="278"/>
      <c r="E1626" s="278"/>
      <c r="F1626" s="278"/>
      <c r="G1626" s="278"/>
      <c r="I1626" s="343"/>
      <c r="J1626" s="348"/>
      <c r="K1626" s="343"/>
      <c r="O1626" s="278"/>
    </row>
    <row r="1627" spans="4:15" ht="15" hidden="1" customHeight="1">
      <c r="D1627" s="278"/>
      <c r="E1627" s="278"/>
      <c r="F1627" s="278"/>
      <c r="G1627" s="278"/>
      <c r="I1627" s="343"/>
      <c r="J1627" s="350"/>
      <c r="K1627" s="343"/>
      <c r="O1627" s="278"/>
    </row>
    <row r="1628" spans="4:15" ht="15" hidden="1" customHeight="1">
      <c r="D1628" s="278"/>
      <c r="E1628" s="278"/>
      <c r="F1628" s="278"/>
      <c r="G1628" s="278"/>
      <c r="J1628" s="343"/>
      <c r="K1628" s="343"/>
    </row>
    <row r="1629" spans="4:15" ht="15" hidden="1" customHeight="1">
      <c r="D1629" s="278"/>
      <c r="E1629" s="278"/>
      <c r="F1629" s="278"/>
      <c r="G1629" s="278"/>
      <c r="J1629" s="348"/>
      <c r="K1629" s="343"/>
    </row>
    <row r="1630" spans="4:15" ht="15" hidden="1" customHeight="1">
      <c r="D1630" s="278"/>
      <c r="E1630" s="278"/>
      <c r="F1630" s="278"/>
      <c r="G1630" s="278"/>
      <c r="J1630" s="343"/>
      <c r="K1630" s="343"/>
    </row>
    <row r="1631" spans="4:15" ht="15" hidden="1" customHeight="1">
      <c r="D1631" s="278"/>
      <c r="E1631" s="278"/>
      <c r="F1631" s="278"/>
      <c r="G1631" s="278"/>
      <c r="J1631" s="343"/>
      <c r="K1631" s="343"/>
    </row>
    <row r="1632" spans="4:15" ht="15" hidden="1" customHeight="1">
      <c r="D1632" s="278"/>
      <c r="E1632" s="278"/>
      <c r="F1632" s="278"/>
      <c r="G1632" s="278"/>
    </row>
    <row r="1633" spans="4:15" ht="15" hidden="1" customHeight="1"/>
    <row r="1634" spans="4:15" ht="15" hidden="1" customHeight="1">
      <c r="K1634" s="341"/>
    </row>
    <row r="1635" spans="4:15" ht="15" customHeight="1">
      <c r="K1635" s="336"/>
    </row>
    <row r="1636" spans="4:15" s="371" customFormat="1" ht="15" customHeight="1">
      <c r="D1636" s="285"/>
      <c r="E1636" s="285"/>
      <c r="F1636" s="285"/>
      <c r="G1636" s="285"/>
      <c r="K1636" s="336"/>
      <c r="O1636" s="98"/>
    </row>
    <row r="1637" spans="4:15" ht="15" customHeight="1">
      <c r="J1637" s="360" t="s">
        <v>1472</v>
      </c>
      <c r="K1637" s="318">
        <f>+J1601-K1601</f>
        <v>-1.71661376953125E-5</v>
      </c>
    </row>
    <row r="1639" spans="4:15" ht="15" customHeight="1">
      <c r="K1639" s="351">
        <f>+K1625+K1635</f>
        <v>1306301230.9890022</v>
      </c>
      <c r="O1639" s="278"/>
    </row>
    <row r="1640" spans="4:15" ht="15" customHeight="1">
      <c r="K1640" s="351"/>
      <c r="O1640" s="278"/>
    </row>
  </sheetData>
  <dataConsolidate/>
  <customSheetViews>
    <customSheetView guid="{A778D8BC-9BFE-407A-A4CC-D84DDC2A2C25}" filter="1" showAutoFilter="1">
      <pageMargins left="0.7" right="0.7" top="0.75" bottom="0.75" header="0.3" footer="0.3"/>
      <autoFilter ref="A8:N3148"/>
    </customSheetView>
  </customSheetViews>
  <mergeCells count="7">
    <mergeCell ref="A1605:K1605"/>
    <mergeCell ref="A1606:K1606"/>
    <mergeCell ref="A1604:K1604"/>
    <mergeCell ref="A3:N3"/>
    <mergeCell ref="D6:G6"/>
    <mergeCell ref="A1602:N1602"/>
    <mergeCell ref="A1603:N1603"/>
  </mergeCells>
  <dataValidations xWindow="1889" yWindow="1191" count="5">
    <dataValidation type="list" allowBlank="1" showErrorMessage="1" sqref="A1601 A1433:A1434 A1528 A437 A1411:A1413 A1336 A1258:A1262 A1445 A12:A13 A1517 A327:A329 A985:A990 A1132 A1040:A1045 A30 A1537:A1538 A1540:A1543 A426:A427 A1515 A1060:A1064 A129 A187:A197 A86:A106 A449:A453 A1366:A1380 A416:A420 A1353:A1362 A1422:A1429 A591:A592 A281:A316 A1212:A1256 A1066:A1072 A108:A110 A363:A364 A175 A74:A80 A112:A124 A32:A33 A755:A839 A594 A179 A500:A584 A320 A1416:A1417 A849:A876 A924:A927 A1092:A1095 A605:A669 A1012:A1015 A994:A1010 A323:A325 A879:A922 A1200:A1210 A1074:A1082 A929:A983 A671:A733 A200:A279">
      <formula1>$A$8</formula1>
    </dataValidation>
    <dataValidation type="list" allowBlank="1" showInputMessage="1" showErrorMessage="1" prompt="PACC - Seleccione el procedimiento de selección." sqref="L1608 M534 L414 L1446:L1484 L1031:L1032 L1297:L1305 L437 L42 L1394:L1400 L1040:L1045 L44:L47 L72 L1310:L1336 L1402:L1407 L28:L30 L1439:L1442 L1269:L1294 L1026:L1028 L666 L688 L449:L453 L1366:L1388 L1341:L1363 L1537:L1550 L1053:L1059 L500:M533 L253:L320 L1487:L1518 L1552:L1601 L654:L664 L670:L674 L676:L685 L690:L701 L703:L722 L1390:L1392 L74:L120 L1212:L1263 L487:L498 L37:L40 L582:M583 L535:L581 L426 L32:L33 L123:L181 L584 L359:L373 L1409:L1436 L754:L876 L924:L927 L416:L420 L590:L651 L1525:L1528 L994:L1022 L323:L357 L879:L922 L1065:L1082 L51:L67 L1088:L1210 L929:L990 L724:L734 L187:L238">
      <formula1>#REF!</formula1>
    </dataValidation>
    <dataValidation type="list" allowBlank="1" showInputMessage="1" showErrorMessage="1" prompt="PACC - Seleccione el Código de Bienes y Servicios._x000a_" sqref="A1602:A1603 A1608 K1366 C1366 C1477 K1468 C1468 K1477:K1478 C1374 K1374 C1371 K1371">
      <formula1>#REF!</formula1>
    </dataValidation>
    <dataValidation type="list" allowBlank="1" showErrorMessage="1" sqref="A1381:A1388 A125:A127 A595:A604 A1083:A1091 A590 A1518:A1524 A1525:A1527">
      <formula1>$A$7</formula1>
    </dataValidation>
    <dataValidation type="list" allowBlank="1" showErrorMessage="1" sqref="A1130:A1131 A1514 A1297:A1305 A1192:A1199 A1446:A1484 A1506 A1341:A1347 A1269 A1272:A1280 A1284:A1293 A1430:A1432 A60 A1133:A1140 A1141:A1180">
      <formula1>#REF!</formula1>
    </dataValidation>
  </dataValidations>
  <pageMargins left="0.51181102362204722" right="0.51181102362204722" top="0.35433070866141736" bottom="0.55118110236220474" header="0" footer="0"/>
  <pageSetup scale="75" orientation="landscape" r:id="rId1"/>
  <headerFooter>
    <oddFooter>&amp;R&amp;P/&amp;N</oddFooter>
  </headerFooter>
  <rowBreaks count="9" manualBreakCount="9">
    <brk id="249" max="15" man="1"/>
    <brk id="356" max="15" man="1"/>
    <brk id="489" max="15" man="1"/>
    <brk id="525" max="15" man="1"/>
    <brk id="1204" max="15" man="1"/>
    <brk id="1296" max="15" man="1"/>
    <brk id="1405" max="15" man="1"/>
    <brk id="1456" max="15" man="1"/>
    <brk id="1606" max="10" man="1"/>
  </rowBreaks>
  <colBreaks count="1" manualBreakCount="1">
    <brk id="8" max="1607" man="1"/>
  </colBreaks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K11"/>
  <sheetViews>
    <sheetView zoomScale="130" zoomScaleNormal="130" workbookViewId="0">
      <selection activeCell="M24" sqref="M24"/>
    </sheetView>
  </sheetViews>
  <sheetFormatPr baseColWidth="10" defaultRowHeight="14.5"/>
  <cols>
    <col min="3" max="3" width="46" customWidth="1"/>
    <col min="10" max="10" width="19.26953125" customWidth="1"/>
    <col min="11" max="11" width="16.54296875" customWidth="1"/>
  </cols>
  <sheetData>
    <row r="7" spans="3:11" ht="15.5">
      <c r="C7" s="390" t="s">
        <v>1657</v>
      </c>
      <c r="D7" s="391" t="s">
        <v>94</v>
      </c>
      <c r="E7" s="393"/>
      <c r="F7" s="393">
        <v>8</v>
      </c>
      <c r="G7" s="395"/>
      <c r="H7" s="392"/>
      <c r="I7" s="384">
        <f>+F7</f>
        <v>8</v>
      </c>
      <c r="J7" s="385">
        <v>110000</v>
      </c>
      <c r="K7" s="386">
        <f>+I7*J7</f>
        <v>880000</v>
      </c>
    </row>
    <row r="8" spans="3:11" ht="31">
      <c r="C8" s="387" t="s">
        <v>1658</v>
      </c>
      <c r="D8" s="388" t="s">
        <v>94</v>
      </c>
      <c r="E8" s="394"/>
      <c r="F8" s="394">
        <v>8</v>
      </c>
      <c r="G8" s="396"/>
      <c r="H8" s="389"/>
      <c r="I8" s="384">
        <f t="shared" ref="I8:I11" si="0">+F8</f>
        <v>8</v>
      </c>
      <c r="J8" s="383">
        <v>110000</v>
      </c>
      <c r="K8" s="386">
        <f t="shared" ref="K8:K11" si="1">+I8*J8</f>
        <v>880000</v>
      </c>
    </row>
    <row r="9" spans="3:11" ht="15.5">
      <c r="C9" s="390" t="s">
        <v>1659</v>
      </c>
      <c r="D9" s="391" t="s">
        <v>94</v>
      </c>
      <c r="E9" s="393"/>
      <c r="F9" s="393">
        <v>6</v>
      </c>
      <c r="G9" s="395"/>
      <c r="H9" s="392"/>
      <c r="I9" s="384">
        <f t="shared" si="0"/>
        <v>6</v>
      </c>
      <c r="J9" s="385">
        <v>10000</v>
      </c>
      <c r="K9" s="386">
        <f t="shared" si="1"/>
        <v>60000</v>
      </c>
    </row>
    <row r="10" spans="3:11" ht="15.5">
      <c r="C10" s="387" t="s">
        <v>1660</v>
      </c>
      <c r="D10" s="388" t="s">
        <v>94</v>
      </c>
      <c r="E10" s="394"/>
      <c r="F10" s="394">
        <v>1</v>
      </c>
      <c r="G10" s="396"/>
      <c r="H10" s="389"/>
      <c r="I10" s="384">
        <f t="shared" si="0"/>
        <v>1</v>
      </c>
      <c r="J10" s="383">
        <v>45000</v>
      </c>
      <c r="K10" s="386">
        <f t="shared" si="1"/>
        <v>45000</v>
      </c>
    </row>
    <row r="11" spans="3:11" ht="15.5">
      <c r="C11" s="390" t="s">
        <v>1661</v>
      </c>
      <c r="D11" s="391" t="s">
        <v>94</v>
      </c>
      <c r="E11" s="393"/>
      <c r="F11" s="393">
        <v>1</v>
      </c>
      <c r="G11" s="395"/>
      <c r="H11" s="392"/>
      <c r="I11" s="384">
        <f t="shared" si="0"/>
        <v>1</v>
      </c>
      <c r="J11" s="385">
        <v>45000</v>
      </c>
      <c r="K11" s="386">
        <f t="shared" si="1"/>
        <v>45000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K54"/>
  <sheetViews>
    <sheetView topLeftCell="A25" workbookViewId="0">
      <selection activeCell="C54" sqref="C54"/>
    </sheetView>
  </sheetViews>
  <sheetFormatPr baseColWidth="10" defaultRowHeight="14.5"/>
  <cols>
    <col min="3" max="3" width="33.26953125" customWidth="1"/>
    <col min="4" max="4" width="22.1796875" customWidth="1"/>
    <col min="5" max="5" width="21.1796875" customWidth="1"/>
    <col min="6" max="8" width="8" customWidth="1"/>
    <col min="9" max="9" width="13.81640625" customWidth="1"/>
    <col min="10" max="10" width="14.54296875" customWidth="1"/>
    <col min="11" max="11" width="19.26953125" customWidth="1"/>
  </cols>
  <sheetData>
    <row r="5" spans="3:11" ht="61.5">
      <c r="C5" s="248" t="s">
        <v>81</v>
      </c>
      <c r="D5" s="248" t="s">
        <v>82</v>
      </c>
      <c r="E5" s="249" t="s">
        <v>691</v>
      </c>
      <c r="F5" s="249" t="s">
        <v>83</v>
      </c>
      <c r="G5" s="250" t="s">
        <v>84</v>
      </c>
      <c r="H5" s="250" t="s">
        <v>85</v>
      </c>
      <c r="I5" s="248" t="s">
        <v>86</v>
      </c>
      <c r="J5" s="251" t="s">
        <v>87</v>
      </c>
      <c r="K5" s="248" t="s">
        <v>88</v>
      </c>
    </row>
    <row r="6" spans="3:11" ht="31">
      <c r="C6" s="252" t="s">
        <v>365</v>
      </c>
      <c r="D6" s="253" t="s">
        <v>97</v>
      </c>
      <c r="E6" s="254">
        <v>3750000</v>
      </c>
      <c r="F6" s="255"/>
      <c r="G6" s="256"/>
      <c r="H6" s="256"/>
      <c r="I6" s="257">
        <f>SUM(E6:H6)</f>
        <v>3750000</v>
      </c>
      <c r="J6" s="258">
        <v>28</v>
      </c>
      <c r="K6" s="259">
        <f>+I6*J6</f>
        <v>105000000</v>
      </c>
    </row>
    <row r="7" spans="3:11" ht="31">
      <c r="C7" s="261" t="s">
        <v>365</v>
      </c>
      <c r="D7" s="262" t="s">
        <v>97</v>
      </c>
      <c r="E7" s="263">
        <v>3750000</v>
      </c>
      <c r="F7" s="264"/>
      <c r="G7" s="265"/>
      <c r="H7" s="265"/>
      <c r="I7" s="266">
        <f>SUM(E7:H7)</f>
        <v>3750000</v>
      </c>
      <c r="J7" s="268">
        <v>48</v>
      </c>
      <c r="K7" s="269">
        <f>+I7*J7</f>
        <v>180000000</v>
      </c>
    </row>
    <row r="8" spans="3:11" ht="15.5">
      <c r="J8" s="272" t="s">
        <v>359</v>
      </c>
      <c r="K8" s="267">
        <f>+K7-K6</f>
        <v>75000000</v>
      </c>
    </row>
    <row r="9" spans="3:11" s="245" customFormat="1" ht="15.5">
      <c r="J9" s="270"/>
      <c r="K9" s="271"/>
    </row>
    <row r="10" spans="3:11" ht="46.5">
      <c r="C10" s="252" t="s">
        <v>95</v>
      </c>
      <c r="D10" s="253" t="s">
        <v>96</v>
      </c>
      <c r="E10" s="254">
        <v>1800000</v>
      </c>
      <c r="F10" s="255"/>
      <c r="G10" s="256"/>
      <c r="H10" s="256"/>
      <c r="I10" s="257">
        <f>SUM(E10:H10)</f>
        <v>1800000</v>
      </c>
      <c r="J10" s="258">
        <v>33.04</v>
      </c>
      <c r="K10" s="259">
        <f>+I10*J10</f>
        <v>59472000</v>
      </c>
    </row>
    <row r="11" spans="3:11" ht="46.5">
      <c r="C11" s="261" t="s">
        <v>95</v>
      </c>
      <c r="D11" s="262" t="s">
        <v>96</v>
      </c>
      <c r="E11" s="263">
        <v>1800000</v>
      </c>
      <c r="F11" s="264"/>
      <c r="G11" s="265"/>
      <c r="H11" s="265"/>
      <c r="I11" s="266">
        <f>SUM(E11:H11)</f>
        <v>1800000</v>
      </c>
      <c r="J11" s="268">
        <v>54.98</v>
      </c>
      <c r="K11" s="269">
        <f>+I11*J11</f>
        <v>98964000</v>
      </c>
    </row>
    <row r="12" spans="3:11" ht="15.5">
      <c r="J12" s="272" t="s">
        <v>359</v>
      </c>
      <c r="K12" s="267">
        <f>+K11-K10</f>
        <v>39492000</v>
      </c>
    </row>
    <row r="15" spans="3:11" ht="18.5">
      <c r="I15" s="458" t="s">
        <v>1384</v>
      </c>
      <c r="J15" s="458"/>
      <c r="K15" s="260">
        <f>+K8+K12</f>
        <v>114492000</v>
      </c>
    </row>
    <row r="21" spans="3:6" ht="21">
      <c r="C21" s="311" t="s">
        <v>1425</v>
      </c>
      <c r="D21" s="457" t="s">
        <v>1426</v>
      </c>
      <c r="E21" s="457"/>
      <c r="F21" s="309"/>
    </row>
    <row r="22" spans="3:6" ht="21">
      <c r="C22" s="309" t="s">
        <v>1427</v>
      </c>
      <c r="D22" s="308">
        <f>1067396+4000000</f>
        <v>5067396</v>
      </c>
      <c r="E22" s="309"/>
      <c r="F22" s="309"/>
    </row>
    <row r="23" spans="3:6" ht="21">
      <c r="C23" s="309" t="s">
        <v>1428</v>
      </c>
      <c r="D23" s="309"/>
      <c r="E23" s="307">
        <f>+'RESUMEN PACC 2026'!E109</f>
        <v>0</v>
      </c>
      <c r="F23" s="309"/>
    </row>
    <row r="24" spans="3:6" ht="21">
      <c r="C24" s="303" t="s">
        <v>1429</v>
      </c>
      <c r="D24" s="309"/>
      <c r="E24" s="307">
        <f>+'RESUMEN PACC 2026'!E110</f>
        <v>0</v>
      </c>
      <c r="F24" s="309"/>
    </row>
    <row r="25" spans="3:6" ht="21">
      <c r="C25" s="303" t="s">
        <v>1430</v>
      </c>
      <c r="D25" s="308">
        <v>1600000</v>
      </c>
      <c r="E25" s="309"/>
      <c r="F25" s="309"/>
    </row>
    <row r="26" spans="3:6" ht="21">
      <c r="C26" s="303" t="s">
        <v>404</v>
      </c>
      <c r="D26" s="308">
        <v>48704412</v>
      </c>
      <c r="E26" s="309"/>
      <c r="F26" s="309"/>
    </row>
    <row r="27" spans="3:6" ht="44.5" customHeight="1">
      <c r="C27" s="313" t="s">
        <v>1432</v>
      </c>
      <c r="D27" s="308">
        <f>+K15</f>
        <v>114492000</v>
      </c>
      <c r="E27" s="309"/>
      <c r="F27" s="309"/>
    </row>
    <row r="28" spans="3:6" ht="21">
      <c r="C28" s="310" t="s">
        <v>1431</v>
      </c>
      <c r="D28" s="306">
        <v>109000000</v>
      </c>
      <c r="E28" s="305"/>
      <c r="F28" s="309"/>
    </row>
    <row r="29" spans="3:6" ht="21">
      <c r="C29" s="304" t="s">
        <v>62</v>
      </c>
      <c r="D29" s="307">
        <f>SUM(D22:D28)</f>
        <v>278863808</v>
      </c>
      <c r="E29" s="307">
        <f>SUM(E23:E28)</f>
        <v>0</v>
      </c>
      <c r="F29" s="309"/>
    </row>
    <row r="30" spans="3:6" ht="21">
      <c r="C30" s="309"/>
      <c r="D30" s="307">
        <f>D29-D28</f>
        <v>169863808</v>
      </c>
      <c r="E30" s="309"/>
      <c r="F30" s="309"/>
    </row>
    <row r="31" spans="3:6" ht="21">
      <c r="C31" s="309"/>
      <c r="D31" s="309"/>
      <c r="E31" s="309"/>
      <c r="F31" s="309"/>
    </row>
    <row r="32" spans="3:6">
      <c r="C32" s="301" t="s">
        <v>1434</v>
      </c>
      <c r="D32" s="30">
        <f>SUM('PACC GENERAL 2026'!J526:J528)+'PACC GENERAL 2026'!J532</f>
        <v>2225000</v>
      </c>
    </row>
    <row r="33" spans="3:6">
      <c r="C33" s="301" t="s">
        <v>1435</v>
      </c>
      <c r="D33" s="244">
        <f>'PACC GENERAL 2026'!K534-Hoja1!D32</f>
        <v>41270370</v>
      </c>
      <c r="E33" s="301" t="s">
        <v>1437</v>
      </c>
    </row>
    <row r="35" spans="3:6">
      <c r="C35" s="301" t="s">
        <v>1436</v>
      </c>
      <c r="D35" s="30">
        <f>'PACC GENERAL 2026'!K734</f>
        <v>62130069.459999986</v>
      </c>
      <c r="E35" s="30">
        <f>SUM('PACC GENERAL 2026'!J605:J702)</f>
        <v>61557323.859999999</v>
      </c>
    </row>
    <row r="36" spans="3:6">
      <c r="C36" s="314">
        <v>4014</v>
      </c>
      <c r="D36" s="30">
        <f>SUM('PACC GENERAL 2026'!J933:J934)</f>
        <v>900000</v>
      </c>
      <c r="E36" s="244">
        <f>D35-D36-E35</f>
        <v>-327254.40000001341</v>
      </c>
      <c r="F36" s="301" t="s">
        <v>1438</v>
      </c>
    </row>
    <row r="41" spans="3:6">
      <c r="C41" s="424" t="s">
        <v>1663</v>
      </c>
    </row>
    <row r="42" spans="3:6">
      <c r="C42" s="424" t="s">
        <v>1669</v>
      </c>
    </row>
    <row r="43" spans="3:6">
      <c r="C43" s="424" t="s">
        <v>1671</v>
      </c>
    </row>
    <row r="45" spans="3:6">
      <c r="C45" s="494" t="s">
        <v>1679</v>
      </c>
    </row>
    <row r="46" spans="3:6">
      <c r="C46" s="494" t="s">
        <v>1680</v>
      </c>
    </row>
    <row r="47" spans="3:6">
      <c r="C47" s="494" t="s">
        <v>1682</v>
      </c>
    </row>
    <row r="48" spans="3:6">
      <c r="C48" s="494" t="s">
        <v>1683</v>
      </c>
    </row>
    <row r="49" spans="3:3">
      <c r="C49" s="494" t="s">
        <v>1684</v>
      </c>
    </row>
    <row r="51" spans="3:3">
      <c r="C51" t="s">
        <v>1689</v>
      </c>
    </row>
    <row r="52" spans="3:3" ht="31">
      <c r="C52" s="459" t="s">
        <v>671</v>
      </c>
    </row>
    <row r="54" spans="3:3">
      <c r="C54" s="524" t="s">
        <v>624</v>
      </c>
    </row>
  </sheetData>
  <mergeCells count="2">
    <mergeCell ref="D21:E21"/>
    <mergeCell ref="I15:J15"/>
  </mergeCells>
  <dataValidations count="1">
    <dataValidation type="list" allowBlank="1" showErrorMessage="1" sqref="C52">
      <formula1>$A$8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RESUMEN PACC 2026</vt:lpstr>
      <vt:lpstr>PACC GENERAL 2026</vt:lpstr>
      <vt:lpstr>Hoja2</vt:lpstr>
      <vt:lpstr>Hoja1</vt:lpstr>
      <vt:lpstr>'PACC GENERAL 2026'!Área_de_impresión</vt:lpstr>
      <vt:lpstr>'RESUMEN PACC 2026'!Área_de_impresión</vt:lpstr>
      <vt:lpstr>'PACC GENERAL 2026'!Títulos_a_imprimir</vt:lpstr>
      <vt:lpstr>'RESUMEN PACC 2026'!Títulos_a_imprimir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Enrique Delince Zapata</dc:creator>
  <cp:lastModifiedBy>Elsa Rosaura Santana Vizcaino</cp:lastModifiedBy>
  <cp:lastPrinted>2026-02-09T18:56:02Z</cp:lastPrinted>
  <dcterms:created xsi:type="dcterms:W3CDTF">2018-07-18T18:14:04Z</dcterms:created>
  <dcterms:modified xsi:type="dcterms:W3CDTF">2026-02-09T18:57:29Z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0x010100E0985447102D424781C1513C298CCA2F</vt:lpwstr>
  </property>
</Properties>
</file>